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y_web_files\cm3120\"/>
    </mc:Choice>
  </mc:AlternateContent>
  <xr:revisionPtr revIDLastSave="0" documentId="13_ncr:1_{9930667F-E2F9-4DF4-9859-355408A5B464}" xr6:coauthVersionLast="36" xr6:coauthVersionMax="46" xr10:uidLastSave="{00000000-0000-0000-0000-000000000000}"/>
  <bookViews>
    <workbookView xWindow="0" yWindow="0" windowWidth="24270" windowHeight="12030" xr2:uid="{E64D2BF4-93FE-9640-9B6F-A491539D481F}"/>
  </bookViews>
  <sheets>
    <sheet name="Data" sheetId="2" r:id="rId1"/>
  </sheets>
  <definedNames>
    <definedName name="newalpha">Data!$C$13</definedName>
    <definedName name="newbeta">Data!$C$14</definedName>
    <definedName name="phi0" localSheetId="0">Data!$C$15</definedName>
    <definedName name="phi0">#REF!</definedName>
    <definedName name="T0" localSheetId="0">Data!$C$11</definedName>
    <definedName name="T0">#REF!</definedName>
    <definedName name="Tinterval" localSheetId="0">Data!$G$6</definedName>
    <definedName name="Tinterval">Data!$G$6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C12" i="2"/>
  <c r="G9" i="2"/>
  <c r="C13" i="2"/>
  <c r="C9" i="2"/>
  <c r="C10" i="2" s="1"/>
  <c r="H9" i="2" l="1"/>
  <c r="C15" i="2"/>
  <c r="N11" i="2" s="1"/>
  <c r="M9" i="2"/>
  <c r="L9" i="2"/>
  <c r="G10" i="2"/>
  <c r="R10" i="2" l="1"/>
  <c r="S10" i="2"/>
  <c r="N20" i="2"/>
  <c r="N9" i="2"/>
  <c r="N16" i="2"/>
  <c r="N64" i="2"/>
  <c r="N30" i="2"/>
  <c r="N70" i="2"/>
  <c r="N48" i="2"/>
  <c r="N38" i="2"/>
  <c r="N40" i="2"/>
  <c r="N69" i="2"/>
  <c r="N56" i="2"/>
  <c r="N24" i="2"/>
  <c r="N54" i="2"/>
  <c r="N49" i="2"/>
  <c r="N17" i="2"/>
  <c r="N68" i="2"/>
  <c r="N52" i="2"/>
  <c r="N34" i="2"/>
  <c r="N22" i="2"/>
  <c r="N10" i="2"/>
  <c r="N42" i="2"/>
  <c r="N61" i="2"/>
  <c r="N35" i="2"/>
  <c r="N59" i="2"/>
  <c r="N33" i="2"/>
  <c r="N60" i="2"/>
  <c r="N44" i="2"/>
  <c r="N28" i="2"/>
  <c r="N18" i="2"/>
  <c r="N58" i="2"/>
  <c r="N26" i="2"/>
  <c r="N51" i="2"/>
  <c r="N19" i="2"/>
  <c r="K9" i="2"/>
  <c r="J9" i="2" s="1"/>
  <c r="N14" i="2"/>
  <c r="N66" i="2"/>
  <c r="N50" i="2"/>
  <c r="N36" i="2"/>
  <c r="N67" i="2"/>
  <c r="N57" i="2"/>
  <c r="N43" i="2"/>
  <c r="N27" i="2"/>
  <c r="N72" i="2"/>
  <c r="N12" i="2"/>
  <c r="N62" i="2"/>
  <c r="N46" i="2"/>
  <c r="N32" i="2"/>
  <c r="N65" i="2"/>
  <c r="N53" i="2"/>
  <c r="N41" i="2"/>
  <c r="N25" i="2"/>
  <c r="H10" i="2"/>
  <c r="G11" i="2"/>
  <c r="M10" i="2"/>
  <c r="K10" i="2"/>
  <c r="L10" i="2"/>
  <c r="N71" i="2"/>
  <c r="N63" i="2"/>
  <c r="N55" i="2"/>
  <c r="N47" i="2"/>
  <c r="N39" i="2"/>
  <c r="N31" i="2"/>
  <c r="N23" i="2"/>
  <c r="N15" i="2"/>
  <c r="N45" i="2"/>
  <c r="N37" i="2"/>
  <c r="N29" i="2"/>
  <c r="N21" i="2"/>
  <c r="N13" i="2"/>
  <c r="O9" i="2"/>
  <c r="P9" i="2" s="1"/>
  <c r="Q9" i="2" l="1"/>
  <c r="H11" i="2"/>
  <c r="G12" i="2"/>
  <c r="L11" i="2"/>
  <c r="M11" i="2"/>
  <c r="K11" i="2"/>
  <c r="J10" i="2" s="1"/>
  <c r="O10" i="2"/>
  <c r="P10" i="2" s="1"/>
  <c r="Q10" i="2" s="1"/>
  <c r="R11" i="2"/>
  <c r="S11" i="2"/>
  <c r="H12" i="2" l="1"/>
  <c r="M12" i="2"/>
  <c r="G13" i="2"/>
  <c r="L12" i="2"/>
  <c r="K12" i="2"/>
  <c r="J11" i="2" s="1"/>
  <c r="O11" i="2"/>
  <c r="P11" i="2" s="1"/>
  <c r="Q11" i="2" s="1"/>
  <c r="F10" i="2"/>
  <c r="R12" i="2"/>
  <c r="S12" i="2"/>
  <c r="T10" i="2" l="1"/>
  <c r="U10" i="2" s="1"/>
  <c r="H13" i="2"/>
  <c r="M13" i="2"/>
  <c r="L13" i="2"/>
  <c r="K13" i="2"/>
  <c r="J12" i="2" s="1"/>
  <c r="G14" i="2"/>
  <c r="F11" i="2"/>
  <c r="T11" i="2" s="1"/>
  <c r="U11" i="2" s="1"/>
  <c r="R13" i="2"/>
  <c r="O12" i="2"/>
  <c r="P12" i="2" s="1"/>
  <c r="Q12" i="2" s="1"/>
  <c r="S13" i="2"/>
  <c r="H14" i="2" l="1"/>
  <c r="K14" i="2"/>
  <c r="M14" i="2"/>
  <c r="L14" i="2"/>
  <c r="G15" i="2"/>
  <c r="F12" i="2"/>
  <c r="T12" i="2" s="1"/>
  <c r="U12" i="2" s="1"/>
  <c r="O13" i="2"/>
  <c r="P13" i="2" s="1"/>
  <c r="Q13" i="2" s="1"/>
  <c r="R14" i="2"/>
  <c r="S14" i="2"/>
  <c r="H15" i="2" l="1"/>
  <c r="K15" i="2"/>
  <c r="J14" i="2" s="1"/>
  <c r="M15" i="2"/>
  <c r="G16" i="2"/>
  <c r="L15" i="2"/>
  <c r="J13" i="2"/>
  <c r="R15" i="2"/>
  <c r="O14" i="2"/>
  <c r="P14" i="2" s="1"/>
  <c r="Q14" i="2" s="1"/>
  <c r="S15" i="2"/>
  <c r="H16" i="2" l="1"/>
  <c r="L16" i="2"/>
  <c r="K16" i="2"/>
  <c r="G17" i="2"/>
  <c r="M16" i="2"/>
  <c r="F13" i="2"/>
  <c r="R16" i="2"/>
  <c r="O15" i="2"/>
  <c r="P15" i="2" s="1"/>
  <c r="Q15" i="2" s="1"/>
  <c r="S16" i="2"/>
  <c r="T13" i="2" l="1"/>
  <c r="U13" i="2" s="1"/>
  <c r="F14" i="2"/>
  <c r="H17" i="2"/>
  <c r="T14" i="2"/>
  <c r="U14" i="2" s="1"/>
  <c r="K17" i="2"/>
  <c r="J16" i="2" s="1"/>
  <c r="L17" i="2"/>
  <c r="G18" i="2"/>
  <c r="M17" i="2"/>
  <c r="J15" i="2"/>
  <c r="O16" i="2"/>
  <c r="P16" i="2" s="1"/>
  <c r="Q16" i="2" s="1"/>
  <c r="R17" i="2"/>
  <c r="S17" i="2"/>
  <c r="H18" i="2" l="1"/>
  <c r="F15" i="2"/>
  <c r="T15" i="2" s="1"/>
  <c r="U15" i="2" s="1"/>
  <c r="K18" i="2"/>
  <c r="J17" i="2" s="1"/>
  <c r="L18" i="2"/>
  <c r="G19" i="2"/>
  <c r="M18" i="2"/>
  <c r="R18" i="2"/>
  <c r="O17" i="2"/>
  <c r="P17" i="2" s="1"/>
  <c r="Q17" i="2" s="1"/>
  <c r="S18" i="2"/>
  <c r="H19" i="2" l="1"/>
  <c r="F16" i="2"/>
  <c r="T16" i="2" s="1"/>
  <c r="U16" i="2" s="1"/>
  <c r="K19" i="2"/>
  <c r="J18" i="2" s="1"/>
  <c r="M19" i="2"/>
  <c r="L19" i="2"/>
  <c r="G20" i="2"/>
  <c r="R19" i="2"/>
  <c r="O18" i="2"/>
  <c r="P18" i="2" s="1"/>
  <c r="Q18" i="2" s="1"/>
  <c r="S19" i="2"/>
  <c r="F17" i="2" l="1"/>
  <c r="T17" i="2" s="1"/>
  <c r="U17" i="2" s="1"/>
  <c r="H20" i="2"/>
  <c r="K20" i="2"/>
  <c r="J19" i="2" s="1"/>
  <c r="L20" i="2"/>
  <c r="M20" i="2"/>
  <c r="G21" i="2"/>
  <c r="O19" i="2"/>
  <c r="P19" i="2" s="1"/>
  <c r="Q19" i="2" s="1"/>
  <c r="R20" i="2"/>
  <c r="S20" i="2"/>
  <c r="O20" i="2" l="1"/>
  <c r="P20" i="2" s="1"/>
  <c r="Q20" i="2" s="1"/>
  <c r="F18" i="2"/>
  <c r="T18" i="2" s="1"/>
  <c r="U18" i="2" s="1"/>
  <c r="H21" i="2"/>
  <c r="K21" i="2"/>
  <c r="G22" i="2"/>
  <c r="L21" i="2"/>
  <c r="M21" i="2"/>
  <c r="R21" i="2"/>
  <c r="S21" i="2"/>
  <c r="F19" i="2" l="1"/>
  <c r="T19" i="2" s="1"/>
  <c r="U19" i="2" s="1"/>
  <c r="H22" i="2"/>
  <c r="M22" i="2"/>
  <c r="L22" i="2"/>
  <c r="K22" i="2"/>
  <c r="G23" i="2"/>
  <c r="J20" i="2"/>
  <c r="R22" i="2"/>
  <c r="O21" i="2"/>
  <c r="P21" i="2" s="1"/>
  <c r="Q21" i="2" s="1"/>
  <c r="S22" i="2"/>
  <c r="H23" i="2" l="1"/>
  <c r="L23" i="2"/>
  <c r="M23" i="2"/>
  <c r="G24" i="2"/>
  <c r="K23" i="2"/>
  <c r="F20" i="2"/>
  <c r="T20" i="2" s="1"/>
  <c r="U20" i="2" s="1"/>
  <c r="J21" i="2"/>
  <c r="R23" i="2"/>
  <c r="O22" i="2"/>
  <c r="P22" i="2" s="1"/>
  <c r="Q22" i="2" s="1"/>
  <c r="S23" i="2"/>
  <c r="O23" i="2" l="1"/>
  <c r="H24" i="2"/>
  <c r="G25" i="2"/>
  <c r="M24" i="2"/>
  <c r="K24" i="2"/>
  <c r="J23" i="2" s="1"/>
  <c r="L24" i="2"/>
  <c r="F21" i="2"/>
  <c r="T21" i="2" s="1"/>
  <c r="U21" i="2" s="1"/>
  <c r="J22" i="2"/>
  <c r="P23" i="2"/>
  <c r="Q23" i="2" s="1"/>
  <c r="R24" i="2"/>
  <c r="S24" i="2"/>
  <c r="H25" i="2" l="1"/>
  <c r="G26" i="2"/>
  <c r="M25" i="2"/>
  <c r="K25" i="2"/>
  <c r="J24" i="2" s="1"/>
  <c r="L25" i="2"/>
  <c r="F22" i="2"/>
  <c r="T22" i="2" s="1"/>
  <c r="U22" i="2" s="1"/>
  <c r="O24" i="2"/>
  <c r="P24" i="2" s="1"/>
  <c r="Q24" i="2" s="1"/>
  <c r="R25" i="2"/>
  <c r="S25" i="2"/>
  <c r="H26" i="2" l="1"/>
  <c r="K26" i="2"/>
  <c r="J25" i="2" s="1"/>
  <c r="L26" i="2"/>
  <c r="G27" i="2"/>
  <c r="M26" i="2"/>
  <c r="F23" i="2"/>
  <c r="T23" i="2" s="1"/>
  <c r="U23" i="2" s="1"/>
  <c r="O25" i="2"/>
  <c r="P25" i="2" s="1"/>
  <c r="Q25" i="2" s="1"/>
  <c r="R26" i="2"/>
  <c r="S26" i="2"/>
  <c r="H27" i="2" l="1"/>
  <c r="F24" i="2"/>
  <c r="T24" i="2" s="1"/>
  <c r="U24" i="2" s="1"/>
  <c r="K27" i="2"/>
  <c r="M27" i="2"/>
  <c r="G28" i="2"/>
  <c r="L27" i="2"/>
  <c r="R27" i="2"/>
  <c r="O26" i="2"/>
  <c r="P26" i="2" s="1"/>
  <c r="Q26" i="2" s="1"/>
  <c r="S27" i="2"/>
  <c r="H28" i="2" l="1"/>
  <c r="M28" i="2"/>
  <c r="L28" i="2"/>
  <c r="G29" i="2"/>
  <c r="K28" i="2"/>
  <c r="J27" i="2" s="1"/>
  <c r="F25" i="2"/>
  <c r="T25" i="2" s="1"/>
  <c r="U25" i="2" s="1"/>
  <c r="J26" i="2"/>
  <c r="O27" i="2"/>
  <c r="P27" i="2" s="1"/>
  <c r="Q27" i="2" s="1"/>
  <c r="R28" i="2"/>
  <c r="S28" i="2"/>
  <c r="H29" i="2" l="1"/>
  <c r="M29" i="2"/>
  <c r="L29" i="2"/>
  <c r="K29" i="2"/>
  <c r="J28" i="2" s="1"/>
  <c r="G30" i="2"/>
  <c r="F26" i="2"/>
  <c r="T26" i="2" s="1"/>
  <c r="U26" i="2" s="1"/>
  <c r="R29" i="2"/>
  <c r="O28" i="2"/>
  <c r="P28" i="2" s="1"/>
  <c r="Q28" i="2" s="1"/>
  <c r="S29" i="2"/>
  <c r="H30" i="2" l="1"/>
  <c r="F27" i="2"/>
  <c r="T27" i="2" s="1"/>
  <c r="U27" i="2" s="1"/>
  <c r="M30" i="2"/>
  <c r="L30" i="2"/>
  <c r="K30" i="2"/>
  <c r="J29" i="2" s="1"/>
  <c r="G31" i="2"/>
  <c r="R30" i="2"/>
  <c r="O29" i="2"/>
  <c r="P29" i="2" s="1"/>
  <c r="Q29" i="2" s="1"/>
  <c r="S30" i="2"/>
  <c r="O30" i="2" l="1"/>
  <c r="P30" i="2" s="1"/>
  <c r="F28" i="2"/>
  <c r="T28" i="2" s="1"/>
  <c r="U28" i="2" s="1"/>
  <c r="H31" i="2"/>
  <c r="G32" i="2"/>
  <c r="K31" i="2"/>
  <c r="L31" i="2"/>
  <c r="M31" i="2"/>
  <c r="Q30" i="2"/>
  <c r="R31" i="2"/>
  <c r="S31" i="2"/>
  <c r="F29" i="2" l="1"/>
  <c r="T29" i="2" s="1"/>
  <c r="U29" i="2" s="1"/>
  <c r="H32" i="2"/>
  <c r="L32" i="2"/>
  <c r="G33" i="2"/>
  <c r="M32" i="2"/>
  <c r="K32" i="2"/>
  <c r="J31" i="2" s="1"/>
  <c r="J30" i="2"/>
  <c r="R32" i="2"/>
  <c r="O31" i="2"/>
  <c r="P31" i="2" s="1"/>
  <c r="Q31" i="2" s="1"/>
  <c r="S32" i="2"/>
  <c r="F30" i="2" l="1"/>
  <c r="T30" i="2" s="1"/>
  <c r="U30" i="2" s="1"/>
  <c r="H33" i="2"/>
  <c r="M33" i="2"/>
  <c r="K33" i="2"/>
  <c r="J32" i="2" s="1"/>
  <c r="L33" i="2"/>
  <c r="G34" i="2"/>
  <c r="R33" i="2"/>
  <c r="O32" i="2"/>
  <c r="P32" i="2" s="1"/>
  <c r="Q32" i="2" s="1"/>
  <c r="S33" i="2"/>
  <c r="F31" i="2" l="1"/>
  <c r="T31" i="2" s="1"/>
  <c r="U31" i="2" s="1"/>
  <c r="H34" i="2"/>
  <c r="K34" i="2"/>
  <c r="L34" i="2"/>
  <c r="G35" i="2"/>
  <c r="M34" i="2"/>
  <c r="O33" i="2"/>
  <c r="P33" i="2" s="1"/>
  <c r="Q33" i="2" s="1"/>
  <c r="R34" i="2"/>
  <c r="S34" i="2"/>
  <c r="F32" i="2" l="1"/>
  <c r="T32" i="2" s="1"/>
  <c r="U32" i="2" s="1"/>
  <c r="H35" i="2"/>
  <c r="K35" i="2"/>
  <c r="J34" i="2" s="1"/>
  <c r="L35" i="2"/>
  <c r="G36" i="2"/>
  <c r="M35" i="2"/>
  <c r="J33" i="2"/>
  <c r="R35" i="2"/>
  <c r="O34" i="2"/>
  <c r="P34" i="2" s="1"/>
  <c r="Q34" i="2" s="1"/>
  <c r="S35" i="2"/>
  <c r="H36" i="2" l="1"/>
  <c r="L36" i="2"/>
  <c r="G37" i="2"/>
  <c r="M36" i="2"/>
  <c r="K36" i="2"/>
  <c r="J35" i="2" s="1"/>
  <c r="F33" i="2"/>
  <c r="T33" i="2" s="1"/>
  <c r="U33" i="2" s="1"/>
  <c r="R36" i="2"/>
  <c r="O35" i="2"/>
  <c r="P35" i="2" s="1"/>
  <c r="Q35" i="2" s="1"/>
  <c r="S36" i="2"/>
  <c r="H37" i="2" l="1"/>
  <c r="G38" i="2"/>
  <c r="L37" i="2"/>
  <c r="M37" i="2"/>
  <c r="K37" i="2"/>
  <c r="F34" i="2"/>
  <c r="T34" i="2" s="1"/>
  <c r="U34" i="2" s="1"/>
  <c r="R37" i="2"/>
  <c r="O36" i="2"/>
  <c r="P36" i="2" s="1"/>
  <c r="Q36" i="2" s="1"/>
  <c r="S37" i="2"/>
  <c r="H38" i="2" l="1"/>
  <c r="K38" i="2"/>
  <c r="L38" i="2"/>
  <c r="G39" i="2"/>
  <c r="M38" i="2"/>
  <c r="F35" i="2"/>
  <c r="T35" i="2" s="1"/>
  <c r="U35" i="2" s="1"/>
  <c r="J36" i="2"/>
  <c r="R38" i="2"/>
  <c r="O37" i="2"/>
  <c r="P37" i="2" s="1"/>
  <c r="Q37" i="2" s="1"/>
  <c r="S38" i="2"/>
  <c r="H39" i="2" l="1"/>
  <c r="F36" i="2"/>
  <c r="T36" i="2" s="1"/>
  <c r="U36" i="2" s="1"/>
  <c r="L39" i="2"/>
  <c r="M39" i="2"/>
  <c r="G40" i="2"/>
  <c r="K39" i="2"/>
  <c r="J38" i="2" s="1"/>
  <c r="J37" i="2"/>
  <c r="O38" i="2"/>
  <c r="P38" i="2" s="1"/>
  <c r="Q38" i="2" s="1"/>
  <c r="R39" i="2"/>
  <c r="S39" i="2"/>
  <c r="F37" i="2" l="1"/>
  <c r="T37" i="2" s="1"/>
  <c r="U37" i="2" s="1"/>
  <c r="H40" i="2"/>
  <c r="M40" i="2"/>
  <c r="K40" i="2"/>
  <c r="G41" i="2"/>
  <c r="L40" i="2"/>
  <c r="O39" i="2"/>
  <c r="P39" i="2" s="1"/>
  <c r="Q39" i="2" s="1"/>
  <c r="R40" i="2"/>
  <c r="S40" i="2"/>
  <c r="F38" i="2" l="1"/>
  <c r="T38" i="2" s="1"/>
  <c r="U38" i="2" s="1"/>
  <c r="H41" i="2"/>
  <c r="K41" i="2"/>
  <c r="G42" i="2"/>
  <c r="L41" i="2"/>
  <c r="M41" i="2"/>
  <c r="J39" i="2"/>
  <c r="R41" i="2"/>
  <c r="O40" i="2"/>
  <c r="P40" i="2" s="1"/>
  <c r="Q40" i="2" s="1"/>
  <c r="S41" i="2"/>
  <c r="H42" i="2" l="1"/>
  <c r="K42" i="2"/>
  <c r="L42" i="2"/>
  <c r="G43" i="2"/>
  <c r="M42" i="2"/>
  <c r="F39" i="2"/>
  <c r="T39" i="2" s="1"/>
  <c r="U39" i="2" s="1"/>
  <c r="J40" i="2"/>
  <c r="O41" i="2"/>
  <c r="P41" i="2" s="1"/>
  <c r="Q41" i="2" s="1"/>
  <c r="R42" i="2"/>
  <c r="S42" i="2"/>
  <c r="H43" i="2" l="1"/>
  <c r="G44" i="2"/>
  <c r="L43" i="2"/>
  <c r="M43" i="2"/>
  <c r="K43" i="2"/>
  <c r="F40" i="2"/>
  <c r="T40" i="2" s="1"/>
  <c r="U40" i="2" s="1"/>
  <c r="J41" i="2"/>
  <c r="O42" i="2"/>
  <c r="P42" i="2" s="1"/>
  <c r="Q42" i="2" s="1"/>
  <c r="R43" i="2"/>
  <c r="S43" i="2"/>
  <c r="H44" i="2" l="1"/>
  <c r="G45" i="2"/>
  <c r="M44" i="2"/>
  <c r="K44" i="2"/>
  <c r="J43" i="2" s="1"/>
  <c r="L44" i="2"/>
  <c r="F41" i="2"/>
  <c r="T41" i="2" s="1"/>
  <c r="U41" i="2" s="1"/>
  <c r="J42" i="2"/>
  <c r="O43" i="2"/>
  <c r="P43" i="2" s="1"/>
  <c r="Q43" i="2" s="1"/>
  <c r="R44" i="2"/>
  <c r="S44" i="2"/>
  <c r="H45" i="2" l="1"/>
  <c r="G46" i="2"/>
  <c r="L45" i="2"/>
  <c r="M45" i="2"/>
  <c r="K45" i="2"/>
  <c r="J44" i="2" s="1"/>
  <c r="F42" i="2"/>
  <c r="T42" i="2" s="1"/>
  <c r="U42" i="2" s="1"/>
  <c r="O44" i="2"/>
  <c r="P44" i="2" s="1"/>
  <c r="Q44" i="2" s="1"/>
  <c r="R45" i="2"/>
  <c r="S45" i="2"/>
  <c r="H46" i="2" l="1"/>
  <c r="F43" i="2"/>
  <c r="T43" i="2" s="1"/>
  <c r="U43" i="2" s="1"/>
  <c r="G47" i="2"/>
  <c r="M46" i="2"/>
  <c r="L46" i="2"/>
  <c r="K46" i="2"/>
  <c r="J45" i="2" s="1"/>
  <c r="O45" i="2"/>
  <c r="P45" i="2" s="1"/>
  <c r="Q45" i="2" s="1"/>
  <c r="R46" i="2"/>
  <c r="S46" i="2"/>
  <c r="H47" i="2" l="1"/>
  <c r="F44" i="2"/>
  <c r="T44" i="2" s="1"/>
  <c r="U44" i="2" s="1"/>
  <c r="K47" i="2"/>
  <c r="J46" i="2" s="1"/>
  <c r="M47" i="2"/>
  <c r="L47" i="2"/>
  <c r="G48" i="2"/>
  <c r="R47" i="2"/>
  <c r="O46" i="2"/>
  <c r="P46" i="2" s="1"/>
  <c r="Q46" i="2" s="1"/>
  <c r="S47" i="2"/>
  <c r="H48" i="2" l="1"/>
  <c r="F45" i="2"/>
  <c r="T45" i="2" s="1"/>
  <c r="U45" i="2" s="1"/>
  <c r="G49" i="2"/>
  <c r="M48" i="2"/>
  <c r="K48" i="2"/>
  <c r="J47" i="2" s="1"/>
  <c r="L48" i="2"/>
  <c r="O47" i="2"/>
  <c r="P47" i="2" s="1"/>
  <c r="Q47" i="2" s="1"/>
  <c r="R48" i="2"/>
  <c r="S48" i="2"/>
  <c r="F46" i="2" l="1"/>
  <c r="T46" i="2" s="1"/>
  <c r="U46" i="2" s="1"/>
  <c r="H49" i="2"/>
  <c r="M49" i="2"/>
  <c r="L49" i="2"/>
  <c r="G50" i="2"/>
  <c r="K49" i="2"/>
  <c r="J48" i="2" s="1"/>
  <c r="O48" i="2"/>
  <c r="P48" i="2" s="1"/>
  <c r="Q48" i="2" s="1"/>
  <c r="R49" i="2"/>
  <c r="S49" i="2"/>
  <c r="F47" i="2" l="1"/>
  <c r="T47" i="2" s="1"/>
  <c r="U47" i="2" s="1"/>
  <c r="H50" i="2"/>
  <c r="M50" i="2"/>
  <c r="K50" i="2"/>
  <c r="J49" i="2" s="1"/>
  <c r="L50" i="2"/>
  <c r="G51" i="2"/>
  <c r="R50" i="2"/>
  <c r="O49" i="2"/>
  <c r="P49" i="2" s="1"/>
  <c r="Q49" i="2" s="1"/>
  <c r="S50" i="2"/>
  <c r="F48" i="2" l="1"/>
  <c r="T48" i="2" s="1"/>
  <c r="U48" i="2" s="1"/>
  <c r="H51" i="2"/>
  <c r="G52" i="2"/>
  <c r="M51" i="2"/>
  <c r="L51" i="2"/>
  <c r="K51" i="2"/>
  <c r="J50" i="2" s="1"/>
  <c r="O50" i="2"/>
  <c r="P50" i="2" s="1"/>
  <c r="Q50" i="2" s="1"/>
  <c r="R51" i="2"/>
  <c r="S51" i="2"/>
  <c r="F49" i="2" l="1"/>
  <c r="T49" i="2" s="1"/>
  <c r="U49" i="2" s="1"/>
  <c r="H52" i="2"/>
  <c r="M52" i="2"/>
  <c r="K52" i="2"/>
  <c r="J51" i="2" s="1"/>
  <c r="L52" i="2"/>
  <c r="G53" i="2"/>
  <c r="R52" i="2"/>
  <c r="O51" i="2"/>
  <c r="P51" i="2" s="1"/>
  <c r="Q51" i="2" s="1"/>
  <c r="S52" i="2"/>
  <c r="F50" i="2" l="1"/>
  <c r="T50" i="2" s="1"/>
  <c r="U50" i="2" s="1"/>
  <c r="H53" i="2"/>
  <c r="K53" i="2"/>
  <c r="J52" i="2" s="1"/>
  <c r="L53" i="2"/>
  <c r="G54" i="2"/>
  <c r="M53" i="2"/>
  <c r="O52" i="2"/>
  <c r="P52" i="2" s="1"/>
  <c r="Q52" i="2" s="1"/>
  <c r="R53" i="2"/>
  <c r="S53" i="2"/>
  <c r="F51" i="2" l="1"/>
  <c r="T51" i="2" s="1"/>
  <c r="U51" i="2" s="1"/>
  <c r="H54" i="2"/>
  <c r="K54" i="2"/>
  <c r="J53" i="2" s="1"/>
  <c r="L54" i="2"/>
  <c r="G55" i="2"/>
  <c r="M54" i="2"/>
  <c r="O53" i="2"/>
  <c r="P53" i="2" s="1"/>
  <c r="Q53" i="2" s="1"/>
  <c r="R54" i="2"/>
  <c r="S54" i="2"/>
  <c r="F52" i="2" l="1"/>
  <c r="T52" i="2" s="1"/>
  <c r="U52" i="2" s="1"/>
  <c r="H55" i="2"/>
  <c r="L55" i="2"/>
  <c r="M55" i="2"/>
  <c r="G56" i="2"/>
  <c r="K55" i="2"/>
  <c r="J54" i="2" s="1"/>
  <c r="R55" i="2"/>
  <c r="O54" i="2"/>
  <c r="P54" i="2" s="1"/>
  <c r="Q54" i="2" s="1"/>
  <c r="S55" i="2"/>
  <c r="F53" i="2" l="1"/>
  <c r="T53" i="2" s="1"/>
  <c r="U53" i="2" s="1"/>
  <c r="H56" i="2"/>
  <c r="M56" i="2"/>
  <c r="G57" i="2"/>
  <c r="K56" i="2"/>
  <c r="J55" i="2" s="1"/>
  <c r="L56" i="2"/>
  <c r="O55" i="2"/>
  <c r="P55" i="2" s="1"/>
  <c r="Q55" i="2" s="1"/>
  <c r="R56" i="2"/>
  <c r="S56" i="2"/>
  <c r="F54" i="2" l="1"/>
  <c r="T54" i="2" s="1"/>
  <c r="U54" i="2" s="1"/>
  <c r="H57" i="2"/>
  <c r="M57" i="2"/>
  <c r="L57" i="2"/>
  <c r="K57" i="2"/>
  <c r="J56" i="2" s="1"/>
  <c r="G58" i="2"/>
  <c r="R57" i="2"/>
  <c r="O56" i="2"/>
  <c r="P56" i="2" s="1"/>
  <c r="Q56" i="2" s="1"/>
  <c r="S57" i="2"/>
  <c r="F56" i="2" l="1"/>
  <c r="T56" i="2" s="1"/>
  <c r="U56" i="2" s="1"/>
  <c r="F55" i="2"/>
  <c r="T55" i="2" s="1"/>
  <c r="U55" i="2" s="1"/>
  <c r="H58" i="2"/>
  <c r="L58" i="2"/>
  <c r="G59" i="2"/>
  <c r="M58" i="2"/>
  <c r="K58" i="2"/>
  <c r="J57" i="2" s="1"/>
  <c r="F57" i="2" s="1"/>
  <c r="T57" i="2" s="1"/>
  <c r="U57" i="2" s="1"/>
  <c r="R58" i="2"/>
  <c r="O57" i="2"/>
  <c r="P57" i="2" s="1"/>
  <c r="Q57" i="2" s="1"/>
  <c r="S58" i="2"/>
  <c r="H59" i="2" l="1"/>
  <c r="M59" i="2"/>
  <c r="L59" i="2"/>
  <c r="G60" i="2"/>
  <c r="K59" i="2"/>
  <c r="J58" i="2" s="1"/>
  <c r="F58" i="2" s="1"/>
  <c r="T58" i="2" s="1"/>
  <c r="U58" i="2" s="1"/>
  <c r="O58" i="2"/>
  <c r="P58" i="2" s="1"/>
  <c r="Q58" i="2" s="1"/>
  <c r="R59" i="2"/>
  <c r="S59" i="2"/>
  <c r="H60" i="2" l="1"/>
  <c r="G61" i="2"/>
  <c r="M60" i="2"/>
  <c r="K60" i="2"/>
  <c r="J59" i="2" s="1"/>
  <c r="F59" i="2" s="1"/>
  <c r="T59" i="2" s="1"/>
  <c r="U59" i="2" s="1"/>
  <c r="L60" i="2"/>
  <c r="O59" i="2"/>
  <c r="P59" i="2" s="1"/>
  <c r="Q59" i="2" s="1"/>
  <c r="R60" i="2"/>
  <c r="S60" i="2"/>
  <c r="H61" i="2" l="1"/>
  <c r="G62" i="2"/>
  <c r="L61" i="2"/>
  <c r="K61" i="2"/>
  <c r="J60" i="2" s="1"/>
  <c r="F60" i="2" s="1"/>
  <c r="T60" i="2" s="1"/>
  <c r="U60" i="2" s="1"/>
  <c r="M61" i="2"/>
  <c r="R61" i="2"/>
  <c r="O60" i="2"/>
  <c r="P60" i="2" s="1"/>
  <c r="Q60" i="2" s="1"/>
  <c r="S61" i="2"/>
  <c r="H62" i="2" l="1"/>
  <c r="L62" i="2"/>
  <c r="G63" i="2"/>
  <c r="M62" i="2"/>
  <c r="K62" i="2"/>
  <c r="J61" i="2" s="1"/>
  <c r="F61" i="2" s="1"/>
  <c r="T61" i="2" s="1"/>
  <c r="U61" i="2" s="1"/>
  <c r="R62" i="2"/>
  <c r="O61" i="2"/>
  <c r="P61" i="2" s="1"/>
  <c r="Q61" i="2" s="1"/>
  <c r="S62" i="2"/>
  <c r="H63" i="2" l="1"/>
  <c r="L63" i="2"/>
  <c r="G64" i="2"/>
  <c r="K63" i="2"/>
  <c r="J62" i="2" s="1"/>
  <c r="F62" i="2" s="1"/>
  <c r="T62" i="2" s="1"/>
  <c r="U62" i="2" s="1"/>
  <c r="M63" i="2"/>
  <c r="O62" i="2"/>
  <c r="P62" i="2" s="1"/>
  <c r="Q62" i="2" s="1"/>
  <c r="R63" i="2"/>
  <c r="S63" i="2"/>
  <c r="H64" i="2" l="1"/>
  <c r="M64" i="2"/>
  <c r="K64" i="2"/>
  <c r="J63" i="2" s="1"/>
  <c r="F63" i="2" s="1"/>
  <c r="T63" i="2" s="1"/>
  <c r="U63" i="2" s="1"/>
  <c r="L64" i="2"/>
  <c r="G65" i="2"/>
  <c r="O63" i="2"/>
  <c r="P63" i="2" s="1"/>
  <c r="Q63" i="2" s="1"/>
  <c r="R64" i="2"/>
  <c r="S64" i="2"/>
  <c r="H65" i="2" l="1"/>
  <c r="M65" i="2"/>
  <c r="K65" i="2"/>
  <c r="J64" i="2" s="1"/>
  <c r="F64" i="2" s="1"/>
  <c r="T64" i="2" s="1"/>
  <c r="U64" i="2" s="1"/>
  <c r="L65" i="2"/>
  <c r="G66" i="2"/>
  <c r="R65" i="2"/>
  <c r="O64" i="2"/>
  <c r="P64" i="2" s="1"/>
  <c r="Q64" i="2" s="1"/>
  <c r="S65" i="2"/>
  <c r="H66" i="2" l="1"/>
  <c r="K66" i="2"/>
  <c r="L66" i="2"/>
  <c r="G67" i="2"/>
  <c r="M66" i="2"/>
  <c r="O65" i="2"/>
  <c r="P65" i="2" s="1"/>
  <c r="Q65" i="2" s="1"/>
  <c r="R66" i="2"/>
  <c r="S66" i="2"/>
  <c r="H67" i="2" l="1"/>
  <c r="K67" i="2"/>
  <c r="J66" i="2" s="1"/>
  <c r="L67" i="2"/>
  <c r="G68" i="2"/>
  <c r="M67" i="2"/>
  <c r="J65" i="2"/>
  <c r="O66" i="2"/>
  <c r="P66" i="2" s="1"/>
  <c r="Q66" i="2" s="1"/>
  <c r="R67" i="2"/>
  <c r="S67" i="2"/>
  <c r="H68" i="2" l="1"/>
  <c r="M68" i="2"/>
  <c r="K68" i="2"/>
  <c r="J67" i="2" s="1"/>
  <c r="L68" i="2"/>
  <c r="G69" i="2"/>
  <c r="F65" i="2"/>
  <c r="T65" i="2" s="1"/>
  <c r="U65" i="2" s="1"/>
  <c r="O67" i="2"/>
  <c r="P67" i="2" s="1"/>
  <c r="Q67" i="2" s="1"/>
  <c r="R68" i="2"/>
  <c r="S68" i="2"/>
  <c r="H69" i="2" l="1"/>
  <c r="F66" i="2"/>
  <c r="T66" i="2" s="1"/>
  <c r="U66" i="2" s="1"/>
  <c r="M69" i="2"/>
  <c r="G70" i="2"/>
  <c r="K69" i="2"/>
  <c r="J68" i="2" s="1"/>
  <c r="L69" i="2"/>
  <c r="R69" i="2"/>
  <c r="O68" i="2"/>
  <c r="P68" i="2" s="1"/>
  <c r="Q68" i="2" s="1"/>
  <c r="S69" i="2"/>
  <c r="H70" i="2" l="1"/>
  <c r="F67" i="2"/>
  <c r="G71" i="2"/>
  <c r="K70" i="2"/>
  <c r="J69" i="2" s="1"/>
  <c r="M70" i="2"/>
  <c r="L70" i="2"/>
  <c r="O69" i="2"/>
  <c r="P69" i="2" s="1"/>
  <c r="Q69" i="2" s="1"/>
  <c r="R70" i="2"/>
  <c r="S70" i="2"/>
  <c r="H71" i="2" l="1"/>
  <c r="F68" i="2"/>
  <c r="T68" i="2" s="1"/>
  <c r="U68" i="2" s="1"/>
  <c r="T67" i="2"/>
  <c r="U67" i="2" s="1"/>
  <c r="K71" i="2"/>
  <c r="J70" i="2" s="1"/>
  <c r="G72" i="2"/>
  <c r="H72" i="2" s="1"/>
  <c r="M71" i="2"/>
  <c r="L71" i="2"/>
  <c r="R71" i="2"/>
  <c r="O70" i="2"/>
  <c r="P70" i="2" s="1"/>
  <c r="Q70" i="2" s="1"/>
  <c r="S71" i="2"/>
  <c r="F69" i="2" l="1"/>
  <c r="T69" i="2" s="1"/>
  <c r="U69" i="2" s="1"/>
  <c r="K72" i="2"/>
  <c r="J71" i="2" s="1"/>
  <c r="L72" i="2"/>
  <c r="M72" i="2"/>
  <c r="O71" i="2"/>
  <c r="P71" i="2" s="1"/>
  <c r="Q71" i="2" s="1"/>
  <c r="R72" i="2"/>
  <c r="S72" i="2"/>
  <c r="O72" i="2" l="1"/>
  <c r="P72" i="2" s="1"/>
  <c r="Q72" i="2" s="1"/>
  <c r="F70" i="2"/>
  <c r="T70" i="2" s="1"/>
  <c r="U70" i="2" s="1"/>
  <c r="F71" i="2" l="1"/>
  <c r="T71" i="2" s="1"/>
  <c r="U71" i="2" s="1"/>
</calcChain>
</file>

<file path=xl/sharedStrings.xml><?xml version="1.0" encoding="utf-8"?>
<sst xmlns="http://schemas.openxmlformats.org/spreadsheetml/2006/main" count="58" uniqueCount="52">
  <si>
    <t>Mass, M</t>
  </si>
  <si>
    <t>Heat Capacity, Cp</t>
  </si>
  <si>
    <t>heat transfer coefficient, h</t>
  </si>
  <si>
    <r>
      <t xml:space="preserve">Stefan Boltzman constant, </t>
    </r>
    <r>
      <rPr>
        <sz val="12"/>
        <color theme="1"/>
        <rFont val="Symbol"/>
        <family val="1"/>
        <charset val="2"/>
      </rPr>
      <t>s</t>
    </r>
  </si>
  <si>
    <r>
      <t xml:space="preserve">emissivity, </t>
    </r>
    <r>
      <rPr>
        <sz val="12"/>
        <color theme="1"/>
        <rFont val="Symbol"/>
        <family val="1"/>
        <charset val="2"/>
      </rPr>
      <t>e</t>
    </r>
  </si>
  <si>
    <t>surface area, S</t>
  </si>
  <si>
    <t>kg</t>
  </si>
  <si>
    <t>J/kgK</t>
  </si>
  <si>
    <t>W/m2 K</t>
  </si>
  <si>
    <t>W/m2K4</t>
  </si>
  <si>
    <t>m2</t>
  </si>
  <si>
    <t xml:space="preserve">m </t>
  </si>
  <si>
    <t>cm</t>
  </si>
  <si>
    <t>sqrt(S)</t>
  </si>
  <si>
    <t>T</t>
  </si>
  <si>
    <t>T0</t>
  </si>
  <si>
    <t xml:space="preserve">K </t>
  </si>
  <si>
    <t>Tb</t>
  </si>
  <si>
    <t>alpha</t>
  </si>
  <si>
    <t>phi0</t>
  </si>
  <si>
    <t>s</t>
  </si>
  <si>
    <t>f(T)</t>
  </si>
  <si>
    <t>K</t>
  </si>
  <si>
    <t>n</t>
  </si>
  <si>
    <t>area incr</t>
  </si>
  <si>
    <t>hS(Tb-T)</t>
  </si>
  <si>
    <t>Watts</t>
  </si>
  <si>
    <t>s/K</t>
  </si>
  <si>
    <t>1/s</t>
  </si>
  <si>
    <t>1/sK3</t>
  </si>
  <si>
    <t>K/s</t>
  </si>
  <si>
    <t>time, t</t>
  </si>
  <si>
    <t>MCp(dT/dt)</t>
  </si>
  <si>
    <t xml:space="preserve"> </t>
  </si>
  <si>
    <t>Y</t>
  </si>
  <si>
    <t>These</t>
  </si>
  <si>
    <t>are</t>
  </si>
  <si>
    <t>to</t>
  </si>
  <si>
    <t xml:space="preserve">check </t>
  </si>
  <si>
    <t xml:space="preserve">the </t>
  </si>
  <si>
    <t>F(t) function</t>
  </si>
  <si>
    <t>check</t>
  </si>
  <si>
    <t>LHS</t>
  </si>
  <si>
    <t>RHS-1</t>
  </si>
  <si>
    <t>RHS-2</t>
  </si>
  <si>
    <t>match</t>
  </si>
  <si>
    <t>T interval=</t>
  </si>
  <si>
    <t>trapezoid</t>
  </si>
  <si>
    <t>beta 10^8</t>
  </si>
  <si>
    <t>Choose this:</t>
  </si>
  <si>
    <r>
      <rPr>
        <sz val="12"/>
        <color theme="1"/>
        <rFont val="Symbol"/>
        <family val="1"/>
        <charset val="2"/>
      </rPr>
      <t>es</t>
    </r>
    <r>
      <rPr>
        <sz val="12"/>
        <color theme="1"/>
        <rFont val="Calibri"/>
        <family val="2"/>
        <scheme val="minor"/>
      </rPr>
      <t>S(Tb4-T4)</t>
    </r>
  </si>
  <si>
    <t>Faith Morrison, Michigan Tech, 2021 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</si>
</sst>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_(* #,##0.0000_);_(* \(#,##0.0000\);_(* &quot;-&quot;??_);_(@_)"/>
    <numFmt numFmtId="167" formatCode="0.0000E+00"/>
  </numFmts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Calibri"/>
      <family val="2"/>
      <charset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9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85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11" fontId="0" fillId="0" borderId="0" xfId="0" applyNumberFormat="1"/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43" fontId="0" fillId="0" borderId="0" xfId="1" applyFont="1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2" borderId="0" xfId="0" applyNumberFormat="1" applyFill="1" applyAlignment="1">
      <alignment horizontal="center"/>
    </xf>
    <xf numFmtId="43" fontId="0" fillId="0" borderId="0" xfId="1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11" fontId="0" fillId="0" borderId="0" xfId="0" applyNumberFormat="1" applyAlignment="1">
      <alignment horizontal="center"/>
    </xf>
    <xf numFmtId="43" fontId="0" fillId="0" borderId="0" xfId="1" applyFont="1" applyAlignment="1"/>
    <xf numFmtId="0" fontId="0" fillId="4" borderId="1" xfId="0" applyFill="1" applyBorder="1" applyAlignment="1">
      <alignment horizontal="center"/>
    </xf>
    <xf numFmtId="8" fontId="0" fillId="0" borderId="0" xfId="0" applyNumberFormat="1"/>
    <xf numFmtId="0" fontId="0" fillId="5" borderId="0" xfId="0" applyFill="1"/>
    <xf numFmtId="0" fontId="5" fillId="6" borderId="0" xfId="0" applyFont="1" applyFill="1"/>
    <xf numFmtId="0" fontId="6" fillId="7" borderId="0" xfId="0" applyFont="1" applyFill="1"/>
    <xf numFmtId="0" fontId="4" fillId="2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48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5"/>
          <c:order val="0"/>
          <c:tx>
            <c:v>f(T)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Data!$G$9:$G$72</c:f>
              <c:numCache>
                <c:formatCode>_(* #,##0.00_);_(* \(#,##0.00\);_(* "-"??_);_(@_)</c:formatCode>
                <c:ptCount val="64"/>
                <c:pt idx="0">
                  <c:v>623</c:v>
                </c:pt>
                <c:pt idx="1">
                  <c:v>618</c:v>
                </c:pt>
                <c:pt idx="2">
                  <c:v>613</c:v>
                </c:pt>
                <c:pt idx="3">
                  <c:v>608</c:v>
                </c:pt>
                <c:pt idx="4">
                  <c:v>603</c:v>
                </c:pt>
                <c:pt idx="5">
                  <c:v>598</c:v>
                </c:pt>
                <c:pt idx="6">
                  <c:v>593</c:v>
                </c:pt>
                <c:pt idx="7">
                  <c:v>588</c:v>
                </c:pt>
                <c:pt idx="8">
                  <c:v>583</c:v>
                </c:pt>
                <c:pt idx="9">
                  <c:v>578</c:v>
                </c:pt>
                <c:pt idx="10">
                  <c:v>573</c:v>
                </c:pt>
                <c:pt idx="11">
                  <c:v>568</c:v>
                </c:pt>
                <c:pt idx="12">
                  <c:v>563</c:v>
                </c:pt>
                <c:pt idx="13">
                  <c:v>558</c:v>
                </c:pt>
                <c:pt idx="14">
                  <c:v>553</c:v>
                </c:pt>
                <c:pt idx="15">
                  <c:v>548</c:v>
                </c:pt>
                <c:pt idx="16">
                  <c:v>543</c:v>
                </c:pt>
                <c:pt idx="17">
                  <c:v>538</c:v>
                </c:pt>
                <c:pt idx="18">
                  <c:v>533</c:v>
                </c:pt>
                <c:pt idx="19">
                  <c:v>528</c:v>
                </c:pt>
                <c:pt idx="20">
                  <c:v>523</c:v>
                </c:pt>
                <c:pt idx="21">
                  <c:v>518</c:v>
                </c:pt>
                <c:pt idx="22">
                  <c:v>513</c:v>
                </c:pt>
                <c:pt idx="23">
                  <c:v>508</c:v>
                </c:pt>
                <c:pt idx="24">
                  <c:v>503</c:v>
                </c:pt>
                <c:pt idx="25">
                  <c:v>498</c:v>
                </c:pt>
                <c:pt idx="26">
                  <c:v>493</c:v>
                </c:pt>
                <c:pt idx="27">
                  <c:v>488</c:v>
                </c:pt>
                <c:pt idx="28">
                  <c:v>483</c:v>
                </c:pt>
                <c:pt idx="29">
                  <c:v>478</c:v>
                </c:pt>
                <c:pt idx="30">
                  <c:v>473</c:v>
                </c:pt>
                <c:pt idx="31">
                  <c:v>468</c:v>
                </c:pt>
                <c:pt idx="32">
                  <c:v>463</c:v>
                </c:pt>
                <c:pt idx="33">
                  <c:v>458</c:v>
                </c:pt>
                <c:pt idx="34">
                  <c:v>453</c:v>
                </c:pt>
                <c:pt idx="35">
                  <c:v>448</c:v>
                </c:pt>
                <c:pt idx="36">
                  <c:v>443</c:v>
                </c:pt>
                <c:pt idx="37">
                  <c:v>438</c:v>
                </c:pt>
                <c:pt idx="38">
                  <c:v>433</c:v>
                </c:pt>
                <c:pt idx="39">
                  <c:v>428</c:v>
                </c:pt>
                <c:pt idx="40">
                  <c:v>423</c:v>
                </c:pt>
                <c:pt idx="41">
                  <c:v>418</c:v>
                </c:pt>
                <c:pt idx="42">
                  <c:v>413</c:v>
                </c:pt>
                <c:pt idx="43">
                  <c:v>408</c:v>
                </c:pt>
                <c:pt idx="44">
                  <c:v>403</c:v>
                </c:pt>
                <c:pt idx="45">
                  <c:v>398</c:v>
                </c:pt>
                <c:pt idx="46">
                  <c:v>393</c:v>
                </c:pt>
                <c:pt idx="47">
                  <c:v>388</c:v>
                </c:pt>
                <c:pt idx="48">
                  <c:v>383</c:v>
                </c:pt>
                <c:pt idx="49">
                  <c:v>378</c:v>
                </c:pt>
                <c:pt idx="50">
                  <c:v>373</c:v>
                </c:pt>
                <c:pt idx="51">
                  <c:v>368</c:v>
                </c:pt>
                <c:pt idx="52">
                  <c:v>363</c:v>
                </c:pt>
                <c:pt idx="53">
                  <c:v>358</c:v>
                </c:pt>
                <c:pt idx="54">
                  <c:v>353</c:v>
                </c:pt>
                <c:pt idx="55">
                  <c:v>348</c:v>
                </c:pt>
                <c:pt idx="56">
                  <c:v>343</c:v>
                </c:pt>
                <c:pt idx="57">
                  <c:v>338</c:v>
                </c:pt>
                <c:pt idx="58">
                  <c:v>333</c:v>
                </c:pt>
                <c:pt idx="59">
                  <c:v>328</c:v>
                </c:pt>
                <c:pt idx="60">
                  <c:v>323</c:v>
                </c:pt>
                <c:pt idx="61">
                  <c:v>318</c:v>
                </c:pt>
                <c:pt idx="62">
                  <c:v>313</c:v>
                </c:pt>
                <c:pt idx="63">
                  <c:v>308</c:v>
                </c:pt>
              </c:numCache>
            </c:numRef>
          </c:xVal>
          <c:yVal>
            <c:numRef>
              <c:f>Data!$K$9:$K$74</c:f>
              <c:numCache>
                <c:formatCode>_(* #,##0.0000_);_(* \(#,##0.0000\);_(* "-"??_);_(@_)</c:formatCode>
                <c:ptCount val="66"/>
                <c:pt idx="0">
                  <c:v>-0.93273446179316455</c:v>
                </c:pt>
                <c:pt idx="1">
                  <c:v>-0.94792274396195697</c:v>
                </c:pt>
                <c:pt idx="2">
                  <c:v>-0.96359642862021411</c:v>
                </c:pt>
                <c:pt idx="3">
                  <c:v>-0.97977942393861306</c:v>
                </c:pt>
                <c:pt idx="4">
                  <c:v>-0.99649723301290094</c:v>
                </c:pt>
                <c:pt idx="5">
                  <c:v>-1.0137770890931417</c:v>
                </c:pt>
                <c:pt idx="6">
                  <c:v>-1.0316481048094239</c:v>
                </c:pt>
                <c:pt idx="7">
                  <c:v>-1.050141437113806</c:v>
                </c:pt>
                <c:pt idx="8">
                  <c:v>-1.0692904699040779</c:v>
                </c:pt>
                <c:pt idx="9">
                  <c:v>-1.0891310165809818</c:v>
                </c:pt>
                <c:pt idx="10">
                  <c:v>-1.1097015451242946</c:v>
                </c:pt>
                <c:pt idx="11">
                  <c:v>-1.1310434286636515</c:v>
                </c:pt>
                <c:pt idx="12">
                  <c:v>-1.1532012249780694</c:v>
                </c:pt>
                <c:pt idx="13">
                  <c:v>-1.1762229888971201</c:v>
                </c:pt>
                <c:pt idx="14">
                  <c:v>-1.2001606222127463</c:v>
                </c:pt>
                <c:pt idx="15">
                  <c:v>-1.2250702664636695</c:v>
                </c:pt>
                <c:pt idx="16">
                  <c:v>-1.2510127448485528</c:v>
                </c:pt>
                <c:pt idx="17">
                  <c:v>-1.2780540605896404</c:v>
                </c:pt>
                <c:pt idx="18">
                  <c:v>-1.3062659603427722</c:v>
                </c:pt>
                <c:pt idx="19">
                  <c:v>-1.3357265727788477</c:v>
                </c:pt>
                <c:pt idx="20">
                  <c:v>-1.3665211343039956</c:v>
                </c:pt>
                <c:pt idx="21">
                  <c:v>-1.3987428161137208</c:v>
                </c:pt>
                <c:pt idx="22">
                  <c:v>-1.4324936694821029</c:v>
                </c:pt>
                <c:pt idx="23">
                  <c:v>-1.467885709487295</c:v>
                </c:pt>
                <c:pt idx="24">
                  <c:v>-1.5050421614178653</c:v>
                </c:pt>
                <c:pt idx="25">
                  <c:v>-1.5440988990815805</c:v>
                </c:pt>
                <c:pt idx="26">
                  <c:v>-1.5852061103950159</c:v>
                </c:pt>
                <c:pt idx="27">
                  <c:v>-1.6285302332879594</c:v>
                </c:pt>
                <c:pt idx="28">
                  <c:v>-1.674256214527658</c:v>
                </c:pt>
                <c:pt idx="29">
                  <c:v>-1.7225901561022798</c:v>
                </c:pt>
                <c:pt idx="30">
                  <c:v>-1.7737624290256648</c:v>
                </c:pt>
                <c:pt idx="31">
                  <c:v>-1.8280313538035509</c:v>
                </c:pt>
                <c:pt idx="32">
                  <c:v>-1.8856875716347972</c:v>
                </c:pt>
                <c:pt idx="33">
                  <c:v>-1.9470592624711043</c:v>
                </c:pt>
                <c:pt idx="34">
                  <c:v>-2.0125184077333569</c:v>
                </c:pt>
                <c:pt idx="35">
                  <c:v>-2.0824883501041964</c:v>
                </c:pt>
                <c:pt idx="36">
                  <c:v>-2.1574529750136962</c:v>
                </c:pt>
                <c:pt idx="37">
                  <c:v>-2.2379679347247623</c:v>
                </c:pt>
                <c:pt idx="38">
                  <c:v>-2.3246744655842217</c:v>
                </c:pt>
                <c:pt idx="39">
                  <c:v>-2.4183165253983496</c:v>
                </c:pt>
                <c:pt idx="40">
                  <c:v>-2.5197622205144348</c:v>
                </c:pt>
                <c:pt idx="41">
                  <c:v>-2.6300308298762292</c:v>
                </c:pt>
                <c:pt idx="42">
                  <c:v>-2.7503272093403579</c:v>
                </c:pt>
                <c:pt idx="43">
                  <c:v>-2.8820860398601238</c:v>
                </c:pt>
                <c:pt idx="44">
                  <c:v>-3.0270293700660811</c:v>
                </c:pt>
                <c:pt idx="45">
                  <c:v>-3.1872423589248537</c:v>
                </c:pt>
                <c:pt idx="46">
                  <c:v>-3.3652743081004344</c:v>
                </c:pt>
                <c:pt idx="47">
                  <c:v>-3.5642754158339711</c:v>
                </c:pt>
                <c:pt idx="48">
                  <c:v>-3.7881849098642211</c:v>
                </c:pt>
                <c:pt idx="49">
                  <c:v>-4.0419945843241987</c:v>
                </c:pt>
                <c:pt idx="50">
                  <c:v>-4.3321255235655807</c:v>
                </c:pt>
                <c:pt idx="51">
                  <c:v>-4.6669791006899208</c:v>
                </c:pt>
                <c:pt idx="52">
                  <c:v>-5.057764165819898</c:v>
                </c:pt>
                <c:pt idx="53">
                  <c:v>-5.5197766618663247</c:v>
                </c:pt>
                <c:pt idx="54">
                  <c:v>-6.0744493199945504</c:v>
                </c:pt>
                <c:pt idx="55">
                  <c:v>-6.7527723888477666</c:v>
                </c:pt>
                <c:pt idx="56">
                  <c:v>-7.6012895677026693</c:v>
                </c:pt>
                <c:pt idx="57">
                  <c:v>-8.6932554315813544</c:v>
                </c:pt>
                <c:pt idx="58">
                  <c:v>-10.151006348938166</c:v>
                </c:pt>
                <c:pt idx="59">
                  <c:v>-12.195338543435508</c:v>
                </c:pt>
                <c:pt idx="60">
                  <c:v>-15.269512949335759</c:v>
                </c:pt>
                <c:pt idx="61">
                  <c:v>-20.413774926271181</c:v>
                </c:pt>
                <c:pt idx="62">
                  <c:v>-30.780543156054712</c:v>
                </c:pt>
                <c:pt idx="63">
                  <c:v>-62.521900993991608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5B-5142-8DB1-7FE6708F0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0684560"/>
        <c:axId val="793689408"/>
      </c:scatterChart>
      <c:valAx>
        <c:axId val="800684560"/>
        <c:scaling>
          <c:orientation val="minMax"/>
          <c:min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>
                    <a:solidFill>
                      <a:schemeClr val="tx1"/>
                    </a:solidFill>
                  </a:rPr>
                  <a:t>T</a:t>
                </a:r>
              </a:p>
            </c:rich>
          </c:tx>
          <c:layout>
            <c:manualLayout>
              <c:xMode val="edge"/>
              <c:yMode val="edge"/>
              <c:x val="0.51868210591323138"/>
              <c:y val="0.80821427726939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689408"/>
        <c:crossesAt val="-70"/>
        <c:crossBetween val="midCat"/>
      </c:valAx>
      <c:valAx>
        <c:axId val="79368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>
                    <a:solidFill>
                      <a:schemeClr val="tx1"/>
                    </a:solidFill>
                  </a:rPr>
                  <a:t>Function f(T) to integrate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684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440744171684419"/>
          <c:y val="0.25122863020500819"/>
          <c:w val="0.27706731511502236"/>
          <c:h val="0.164041419480099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54849031056223"/>
          <c:y val="9.1002572698214698E-2"/>
          <c:w val="0.77782390837508952"/>
          <c:h val="0.74880739845638111"/>
        </c:manualLayout>
      </c:layout>
      <c:scatterChart>
        <c:scatterStyle val="smoothMarker"/>
        <c:varyColors val="0"/>
        <c:ser>
          <c:idx val="1"/>
          <c:order val="0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Data!$F$9:$F$74</c:f>
              <c:numCache>
                <c:formatCode>_(* #,##0.00_);_(* \(#,##0.00\);_(* "-"??_);_(@_)</c:formatCode>
                <c:ptCount val="66"/>
                <c:pt idx="0" formatCode="General">
                  <c:v>0</c:v>
                </c:pt>
                <c:pt idx="1">
                  <c:v>4.7787979314554274</c:v>
                </c:pt>
                <c:pt idx="2">
                  <c:v>9.6372375628524942</c:v>
                </c:pt>
                <c:pt idx="3">
                  <c:v>14.577929205231278</c:v>
                </c:pt>
                <c:pt idx="4">
                  <c:v>19.603615010496384</c:v>
                </c:pt>
                <c:pt idx="5">
                  <c:v>24.717177995252797</c:v>
                </c:pt>
                <c:pt idx="6">
                  <c:v>29.921651850060872</c:v>
                </c:pt>
                <c:pt idx="7">
                  <c:v>35.220231617605585</c:v>
                </c:pt>
                <c:pt idx="8">
                  <c:v>40.616285333818233</c:v>
                </c:pt>
                <c:pt idx="9">
                  <c:v>46.113366738081425</c:v>
                </c:pt>
                <c:pt idx="10">
                  <c:v>51.71522917255129</c:v>
                </c:pt>
                <c:pt idx="11">
                  <c:v>57.425840806655593</c:v>
                </c:pt>
                <c:pt idx="12">
                  <c:v>63.249401341343564</c:v>
                </c:pt>
                <c:pt idx="13">
                  <c:v>69.190360369118224</c:v>
                </c:pt>
                <c:pt idx="14">
                  <c:v>75.25343759080927</c:v>
                </c:pt>
                <c:pt idx="15">
                  <c:v>81.443645119089823</c:v>
                </c:pt>
                <c:pt idx="16">
                  <c:v>87.7663121326853</c:v>
                </c:pt>
                <c:pt idx="17">
                  <c:v>94.227112185016338</c:v>
                </c:pt>
                <c:pt idx="18">
                  <c:v>100.83209351782038</c:v>
                </c:pt>
                <c:pt idx="19">
                  <c:v>107.58771278552749</c:v>
                </c:pt>
                <c:pt idx="20">
                  <c:v>114.50087266157178</c:v>
                </c:pt>
                <c:pt idx="21">
                  <c:v>121.57896387556133</c:v>
                </c:pt>
                <c:pt idx="22">
                  <c:v>128.82991232298482</c:v>
                </c:pt>
                <c:pt idx="23">
                  <c:v>136.26223200024774</c:v>
                </c:pt>
                <c:pt idx="24">
                  <c:v>143.88508465149636</c:v>
                </c:pt>
                <c:pt idx="25">
                  <c:v>151.70834717518784</c:v>
                </c:pt>
                <c:pt idx="26">
                  <c:v>159.74268803439529</c:v>
                </c:pt>
                <c:pt idx="27">
                  <c:v>167.99965415393433</c:v>
                </c:pt>
                <c:pt idx="28">
                  <c:v>176.49177008050918</c:v>
                </c:pt>
                <c:pt idx="29">
                  <c:v>185.23265154332904</c:v>
                </c:pt>
                <c:pt idx="30">
                  <c:v>194.23713600040207</c:v>
                </c:pt>
                <c:pt idx="31">
                  <c:v>203.52143331399793</c:v>
                </c:pt>
                <c:pt idx="32">
                  <c:v>213.10330039926268</c:v>
                </c:pt>
                <c:pt idx="33">
                  <c:v>223.00224457477384</c:v>
                </c:pt>
                <c:pt idx="34">
                  <c:v>233.23976146936772</c:v>
                </c:pt>
                <c:pt idx="35">
                  <c:v>243.83961478216244</c:v>
                </c:pt>
                <c:pt idx="36">
                  <c:v>254.82816705650859</c:v>
                </c:pt>
                <c:pt idx="37">
                  <c:v>266.23477305728107</c:v>
                </c:pt>
                <c:pt idx="38">
                  <c:v>278.0922505347375</c:v>
                </c:pt>
                <c:pt idx="39">
                  <c:v>290.43744739951944</c:v>
                </c:pt>
                <c:pt idx="40">
                  <c:v>303.31193002549611</c:v>
                </c:pt>
                <c:pt idx="41">
                  <c:v>316.7628251235376</c:v>
                </c:pt>
                <c:pt idx="42">
                  <c:v>330.84385824653879</c:v>
                </c:pt>
                <c:pt idx="43">
                  <c:v>345.61664677135428</c:v>
                </c:pt>
                <c:pt idx="44">
                  <c:v>361.15232609383162</c:v>
                </c:pt>
                <c:pt idx="45">
                  <c:v>377.53361776139485</c:v>
                </c:pt>
                <c:pt idx="46">
                  <c:v>394.85749207123087</c:v>
                </c:pt>
                <c:pt idx="47">
                  <c:v>413.23864288547634</c:v>
                </c:pt>
                <c:pt idx="48">
                  <c:v>432.81409162094741</c:v>
                </c:pt>
                <c:pt idx="49">
                  <c:v>453.74939189067186</c:v>
                </c:pt>
                <c:pt idx="50">
                  <c:v>476.24715345131062</c:v>
                </c:pt>
                <c:pt idx="51">
                  <c:v>500.55901161758516</c:v>
                </c:pt>
                <c:pt idx="52">
                  <c:v>527.00286368680077</c:v>
                </c:pt>
                <c:pt idx="53">
                  <c:v>555.98842864145297</c:v>
                </c:pt>
                <c:pt idx="54">
                  <c:v>588.05648291355874</c:v>
                </c:pt>
                <c:pt idx="55">
                  <c:v>623.94163780493477</c:v>
                </c:pt>
                <c:pt idx="56">
                  <c:v>664.67800030314481</c:v>
                </c:pt>
                <c:pt idx="57">
                  <c:v>711.78865475444366</c:v>
                </c:pt>
                <c:pt idx="58">
                  <c:v>767.65451698537788</c:v>
                </c:pt>
                <c:pt idx="59">
                  <c:v>836.31664571730607</c:v>
                </c:pt>
                <c:pt idx="60">
                  <c:v>925.52486540632344</c:v>
                </c:pt>
                <c:pt idx="61">
                  <c:v>1053.5106606121381</c:v>
                </c:pt>
                <c:pt idx="62">
                  <c:v>1286.7667709872539</c:v>
                </c:pt>
              </c:numCache>
            </c:numRef>
          </c:xVal>
          <c:yVal>
            <c:numRef>
              <c:f>Data!$G$9:$G$75</c:f>
              <c:numCache>
                <c:formatCode>_(* #,##0.00_);_(* \(#,##0.00\);_(* "-"??_);_(@_)</c:formatCode>
                <c:ptCount val="67"/>
                <c:pt idx="0">
                  <c:v>623</c:v>
                </c:pt>
                <c:pt idx="1">
                  <c:v>618</c:v>
                </c:pt>
                <c:pt idx="2">
                  <c:v>613</c:v>
                </c:pt>
                <c:pt idx="3">
                  <c:v>608</c:v>
                </c:pt>
                <c:pt idx="4">
                  <c:v>603</c:v>
                </c:pt>
                <c:pt idx="5">
                  <c:v>598</c:v>
                </c:pt>
                <c:pt idx="6">
                  <c:v>593</c:v>
                </c:pt>
                <c:pt idx="7">
                  <c:v>588</c:v>
                </c:pt>
                <c:pt idx="8">
                  <c:v>583</c:v>
                </c:pt>
                <c:pt idx="9">
                  <c:v>578</c:v>
                </c:pt>
                <c:pt idx="10">
                  <c:v>573</c:v>
                </c:pt>
                <c:pt idx="11">
                  <c:v>568</c:v>
                </c:pt>
                <c:pt idx="12">
                  <c:v>563</c:v>
                </c:pt>
                <c:pt idx="13">
                  <c:v>558</c:v>
                </c:pt>
                <c:pt idx="14">
                  <c:v>553</c:v>
                </c:pt>
                <c:pt idx="15">
                  <c:v>548</c:v>
                </c:pt>
                <c:pt idx="16">
                  <c:v>543</c:v>
                </c:pt>
                <c:pt idx="17">
                  <c:v>538</c:v>
                </c:pt>
                <c:pt idx="18">
                  <c:v>533</c:v>
                </c:pt>
                <c:pt idx="19">
                  <c:v>528</c:v>
                </c:pt>
                <c:pt idx="20">
                  <c:v>523</c:v>
                </c:pt>
                <c:pt idx="21">
                  <c:v>518</c:v>
                </c:pt>
                <c:pt idx="22">
                  <c:v>513</c:v>
                </c:pt>
                <c:pt idx="23">
                  <c:v>508</c:v>
                </c:pt>
                <c:pt idx="24">
                  <c:v>503</c:v>
                </c:pt>
                <c:pt idx="25">
                  <c:v>498</c:v>
                </c:pt>
                <c:pt idx="26">
                  <c:v>493</c:v>
                </c:pt>
                <c:pt idx="27">
                  <c:v>488</c:v>
                </c:pt>
                <c:pt idx="28">
                  <c:v>483</c:v>
                </c:pt>
                <c:pt idx="29">
                  <c:v>478</c:v>
                </c:pt>
                <c:pt idx="30">
                  <c:v>473</c:v>
                </c:pt>
                <c:pt idx="31">
                  <c:v>468</c:v>
                </c:pt>
                <c:pt idx="32">
                  <c:v>463</c:v>
                </c:pt>
                <c:pt idx="33">
                  <c:v>458</c:v>
                </c:pt>
                <c:pt idx="34">
                  <c:v>453</c:v>
                </c:pt>
                <c:pt idx="35">
                  <c:v>448</c:v>
                </c:pt>
                <c:pt idx="36">
                  <c:v>443</c:v>
                </c:pt>
                <c:pt idx="37">
                  <c:v>438</c:v>
                </c:pt>
                <c:pt idx="38">
                  <c:v>433</c:v>
                </c:pt>
                <c:pt idx="39">
                  <c:v>428</c:v>
                </c:pt>
                <c:pt idx="40">
                  <c:v>423</c:v>
                </c:pt>
                <c:pt idx="41">
                  <c:v>418</c:v>
                </c:pt>
                <c:pt idx="42">
                  <c:v>413</c:v>
                </c:pt>
                <c:pt idx="43">
                  <c:v>408</c:v>
                </c:pt>
                <c:pt idx="44">
                  <c:v>403</c:v>
                </c:pt>
                <c:pt idx="45">
                  <c:v>398</c:v>
                </c:pt>
                <c:pt idx="46">
                  <c:v>393</c:v>
                </c:pt>
                <c:pt idx="47">
                  <c:v>388</c:v>
                </c:pt>
                <c:pt idx="48">
                  <c:v>383</c:v>
                </c:pt>
                <c:pt idx="49">
                  <c:v>378</c:v>
                </c:pt>
                <c:pt idx="50">
                  <c:v>373</c:v>
                </c:pt>
                <c:pt idx="51">
                  <c:v>368</c:v>
                </c:pt>
                <c:pt idx="52">
                  <c:v>363</c:v>
                </c:pt>
                <c:pt idx="53">
                  <c:v>358</c:v>
                </c:pt>
                <c:pt idx="54">
                  <c:v>353</c:v>
                </c:pt>
                <c:pt idx="55">
                  <c:v>348</c:v>
                </c:pt>
                <c:pt idx="56">
                  <c:v>343</c:v>
                </c:pt>
                <c:pt idx="57">
                  <c:v>338</c:v>
                </c:pt>
                <c:pt idx="58">
                  <c:v>333</c:v>
                </c:pt>
                <c:pt idx="59">
                  <c:v>328</c:v>
                </c:pt>
                <c:pt idx="60">
                  <c:v>323</c:v>
                </c:pt>
                <c:pt idx="61">
                  <c:v>318</c:v>
                </c:pt>
                <c:pt idx="62">
                  <c:v>313</c:v>
                </c:pt>
                <c:pt idx="63">
                  <c:v>308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61-ED47-9A51-2A9CF8747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565712"/>
        <c:axId val="821199232"/>
      </c:scatterChart>
      <c:valAx>
        <c:axId val="794565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>
                    <a:solidFill>
                      <a:schemeClr val="tx1"/>
                    </a:solidFill>
                  </a:rPr>
                  <a:t>time, 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199232"/>
        <c:crosses val="autoZero"/>
        <c:crossBetween val="midCat"/>
        <c:majorUnit val="250"/>
        <c:minorUnit val="50"/>
      </c:valAx>
      <c:valAx>
        <c:axId val="821199232"/>
        <c:scaling>
          <c:orientation val="minMax"/>
          <c:min val="2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>
                    <a:solidFill>
                      <a:schemeClr val="tx1"/>
                    </a:solidFill>
                  </a:rPr>
                  <a:t>Temperature, 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56571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5"/>
          <c:order val="0"/>
          <c:tx>
            <c:v>f(T)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Data!$H$9:$H$74</c:f>
            </c:numRef>
          </c:xVal>
          <c:yVal>
            <c:numRef>
              <c:f>Data!$K$9:$K$74</c:f>
              <c:numCache>
                <c:formatCode>_(* #,##0.0000_);_(* \(#,##0.0000\);_(* "-"??_);_(@_)</c:formatCode>
                <c:ptCount val="66"/>
                <c:pt idx="0">
                  <c:v>-0.93273446179316455</c:v>
                </c:pt>
                <c:pt idx="1">
                  <c:v>-0.94792274396195697</c:v>
                </c:pt>
                <c:pt idx="2">
                  <c:v>-0.96359642862021411</c:v>
                </c:pt>
                <c:pt idx="3">
                  <c:v>-0.97977942393861306</c:v>
                </c:pt>
                <c:pt idx="4">
                  <c:v>-0.99649723301290094</c:v>
                </c:pt>
                <c:pt idx="5">
                  <c:v>-1.0137770890931417</c:v>
                </c:pt>
                <c:pt idx="6">
                  <c:v>-1.0316481048094239</c:v>
                </c:pt>
                <c:pt idx="7">
                  <c:v>-1.050141437113806</c:v>
                </c:pt>
                <c:pt idx="8">
                  <c:v>-1.0692904699040779</c:v>
                </c:pt>
                <c:pt idx="9">
                  <c:v>-1.0891310165809818</c:v>
                </c:pt>
                <c:pt idx="10">
                  <c:v>-1.1097015451242946</c:v>
                </c:pt>
                <c:pt idx="11">
                  <c:v>-1.1310434286636515</c:v>
                </c:pt>
                <c:pt idx="12">
                  <c:v>-1.1532012249780694</c:v>
                </c:pt>
                <c:pt idx="13">
                  <c:v>-1.1762229888971201</c:v>
                </c:pt>
                <c:pt idx="14">
                  <c:v>-1.2001606222127463</c:v>
                </c:pt>
                <c:pt idx="15">
                  <c:v>-1.2250702664636695</c:v>
                </c:pt>
                <c:pt idx="16">
                  <c:v>-1.2510127448485528</c:v>
                </c:pt>
                <c:pt idx="17">
                  <c:v>-1.2780540605896404</c:v>
                </c:pt>
                <c:pt idx="18">
                  <c:v>-1.3062659603427722</c:v>
                </c:pt>
                <c:pt idx="19">
                  <c:v>-1.3357265727788477</c:v>
                </c:pt>
                <c:pt idx="20">
                  <c:v>-1.3665211343039956</c:v>
                </c:pt>
                <c:pt idx="21">
                  <c:v>-1.3987428161137208</c:v>
                </c:pt>
                <c:pt idx="22">
                  <c:v>-1.4324936694821029</c:v>
                </c:pt>
                <c:pt idx="23">
                  <c:v>-1.467885709487295</c:v>
                </c:pt>
                <c:pt idx="24">
                  <c:v>-1.5050421614178653</c:v>
                </c:pt>
                <c:pt idx="25">
                  <c:v>-1.5440988990815805</c:v>
                </c:pt>
                <c:pt idx="26">
                  <c:v>-1.5852061103950159</c:v>
                </c:pt>
                <c:pt idx="27">
                  <c:v>-1.6285302332879594</c:v>
                </c:pt>
                <c:pt idx="28">
                  <c:v>-1.674256214527658</c:v>
                </c:pt>
                <c:pt idx="29">
                  <c:v>-1.7225901561022798</c:v>
                </c:pt>
                <c:pt idx="30">
                  <c:v>-1.7737624290256648</c:v>
                </c:pt>
                <c:pt idx="31">
                  <c:v>-1.8280313538035509</c:v>
                </c:pt>
                <c:pt idx="32">
                  <c:v>-1.8856875716347972</c:v>
                </c:pt>
                <c:pt idx="33">
                  <c:v>-1.9470592624711043</c:v>
                </c:pt>
                <c:pt idx="34">
                  <c:v>-2.0125184077333569</c:v>
                </c:pt>
                <c:pt idx="35">
                  <c:v>-2.0824883501041964</c:v>
                </c:pt>
                <c:pt idx="36">
                  <c:v>-2.1574529750136962</c:v>
                </c:pt>
                <c:pt idx="37">
                  <c:v>-2.2379679347247623</c:v>
                </c:pt>
                <c:pt idx="38">
                  <c:v>-2.3246744655842217</c:v>
                </c:pt>
                <c:pt idx="39">
                  <c:v>-2.4183165253983496</c:v>
                </c:pt>
                <c:pt idx="40">
                  <c:v>-2.5197622205144348</c:v>
                </c:pt>
                <c:pt idx="41">
                  <c:v>-2.6300308298762292</c:v>
                </c:pt>
                <c:pt idx="42">
                  <c:v>-2.7503272093403579</c:v>
                </c:pt>
                <c:pt idx="43">
                  <c:v>-2.8820860398601238</c:v>
                </c:pt>
                <c:pt idx="44">
                  <c:v>-3.0270293700660811</c:v>
                </c:pt>
                <c:pt idx="45">
                  <c:v>-3.1872423589248537</c:v>
                </c:pt>
                <c:pt idx="46">
                  <c:v>-3.3652743081004344</c:v>
                </c:pt>
                <c:pt idx="47">
                  <c:v>-3.5642754158339711</c:v>
                </c:pt>
                <c:pt idx="48">
                  <c:v>-3.7881849098642211</c:v>
                </c:pt>
                <c:pt idx="49">
                  <c:v>-4.0419945843241987</c:v>
                </c:pt>
                <c:pt idx="50">
                  <c:v>-4.3321255235655807</c:v>
                </c:pt>
                <c:pt idx="51">
                  <c:v>-4.6669791006899208</c:v>
                </c:pt>
                <c:pt idx="52">
                  <c:v>-5.057764165819898</c:v>
                </c:pt>
                <c:pt idx="53">
                  <c:v>-5.5197766618663247</c:v>
                </c:pt>
                <c:pt idx="54">
                  <c:v>-6.0744493199945504</c:v>
                </c:pt>
                <c:pt idx="55">
                  <c:v>-6.7527723888477666</c:v>
                </c:pt>
                <c:pt idx="56">
                  <c:v>-7.6012895677026693</c:v>
                </c:pt>
                <c:pt idx="57">
                  <c:v>-8.6932554315813544</c:v>
                </c:pt>
                <c:pt idx="58">
                  <c:v>-10.151006348938166</c:v>
                </c:pt>
                <c:pt idx="59">
                  <c:v>-12.195338543435508</c:v>
                </c:pt>
                <c:pt idx="60">
                  <c:v>-15.269512949335759</c:v>
                </c:pt>
                <c:pt idx="61">
                  <c:v>-20.413774926271181</c:v>
                </c:pt>
                <c:pt idx="62">
                  <c:v>-30.780543156054712</c:v>
                </c:pt>
                <c:pt idx="63">
                  <c:v>-62.521900993991608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B9-4841-ACE8-F0D671683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0684560"/>
        <c:axId val="793689408"/>
      </c:scatterChart>
      <c:scatterChart>
        <c:scatterStyle val="smoothMarker"/>
        <c:varyColors val="0"/>
        <c:ser>
          <c:idx val="0"/>
          <c:order val="1"/>
          <c:tx>
            <c:v>time increments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Data!$H$9:$H$74</c:f>
            </c:numRef>
          </c:xVal>
          <c:yVal>
            <c:numRef>
              <c:f>Data!$J$9:$J$74</c:f>
              <c:numCache>
                <c:formatCode>_(* #,##0.00_);_(* \(#,##0.00\);_(* "-"??_);_(@_)</c:formatCode>
                <c:ptCount val="66"/>
                <c:pt idx="0">
                  <c:v>4.7016430143878036</c:v>
                </c:pt>
                <c:pt idx="1">
                  <c:v>4.7787979314554274</c:v>
                </c:pt>
                <c:pt idx="2">
                  <c:v>4.8584396313970677</c:v>
                </c:pt>
                <c:pt idx="3">
                  <c:v>4.940691642378785</c:v>
                </c:pt>
                <c:pt idx="4">
                  <c:v>5.0256858052651063</c:v>
                </c:pt>
                <c:pt idx="5">
                  <c:v>5.113562984756415</c:v>
                </c:pt>
                <c:pt idx="6">
                  <c:v>5.2044738548080751</c:v>
                </c:pt>
                <c:pt idx="7">
                  <c:v>5.2985797675447097</c:v>
                </c:pt>
                <c:pt idx="8">
                  <c:v>5.3960537162126503</c:v>
                </c:pt>
                <c:pt idx="9">
                  <c:v>5.4970814042631915</c:v>
                </c:pt>
                <c:pt idx="10">
                  <c:v>5.6018624344698651</c:v>
                </c:pt>
                <c:pt idx="11">
                  <c:v>5.7106116341043025</c:v>
                </c:pt>
                <c:pt idx="12">
                  <c:v>5.8235605346879735</c:v>
                </c:pt>
                <c:pt idx="13">
                  <c:v>5.9409590277746656</c:v>
                </c:pt>
                <c:pt idx="14">
                  <c:v>6.0630772216910405</c:v>
                </c:pt>
                <c:pt idx="15">
                  <c:v>6.1902075282805562</c:v>
                </c:pt>
                <c:pt idx="16">
                  <c:v>6.322667013595483</c:v>
                </c:pt>
                <c:pt idx="17">
                  <c:v>6.4608000523310318</c:v>
                </c:pt>
                <c:pt idx="18">
                  <c:v>6.6049813328040496</c:v>
                </c:pt>
                <c:pt idx="19">
                  <c:v>6.7556192677071083</c:v>
                </c:pt>
                <c:pt idx="20">
                  <c:v>6.9131598760442898</c:v>
                </c:pt>
                <c:pt idx="21">
                  <c:v>7.0780912139895591</c:v>
                </c:pt>
                <c:pt idx="22">
                  <c:v>7.2509484474234949</c:v>
                </c:pt>
                <c:pt idx="23">
                  <c:v>7.4323196772629005</c:v>
                </c:pt>
                <c:pt idx="24">
                  <c:v>7.622852651248615</c:v>
                </c:pt>
                <c:pt idx="25">
                  <c:v>7.8232625236914908</c:v>
                </c:pt>
                <c:pt idx="26">
                  <c:v>8.0343408592074379</c:v>
                </c:pt>
                <c:pt idx="27">
                  <c:v>8.2569661195390438</c:v>
                </c:pt>
                <c:pt idx="28">
                  <c:v>8.4921159265748454</c:v>
                </c:pt>
                <c:pt idx="29">
                  <c:v>8.7408814628198623</c:v>
                </c:pt>
                <c:pt idx="30">
                  <c:v>9.0044844570730387</c:v>
                </c:pt>
                <c:pt idx="31">
                  <c:v>9.2842973135958715</c:v>
                </c:pt>
                <c:pt idx="32">
                  <c:v>9.5818670852647543</c:v>
                </c:pt>
                <c:pt idx="33">
                  <c:v>9.8989441755111525</c:v>
                </c:pt>
                <c:pt idx="34">
                  <c:v>10.237516894593883</c:v>
                </c:pt>
                <c:pt idx="35">
                  <c:v>10.599853312794732</c:v>
                </c:pt>
                <c:pt idx="36">
                  <c:v>10.988552274346146</c:v>
                </c:pt>
                <c:pt idx="37">
                  <c:v>11.406606000772461</c:v>
                </c:pt>
                <c:pt idx="38">
                  <c:v>11.857477477456428</c:v>
                </c:pt>
                <c:pt idx="39">
                  <c:v>12.345196864781961</c:v>
                </c:pt>
                <c:pt idx="40">
                  <c:v>12.874482625976659</c:v>
                </c:pt>
                <c:pt idx="41">
                  <c:v>13.450895098041467</c:v>
                </c:pt>
                <c:pt idx="42">
                  <c:v>14.081033123001205</c:v>
                </c:pt>
                <c:pt idx="43">
                  <c:v>14.772788524815512</c:v>
                </c:pt>
                <c:pt idx="44">
                  <c:v>15.535679322477339</c:v>
                </c:pt>
                <c:pt idx="45">
                  <c:v>16.381291667563222</c:v>
                </c:pt>
                <c:pt idx="46">
                  <c:v>17.323874309836015</c:v>
                </c:pt>
                <c:pt idx="47">
                  <c:v>18.38115081424548</c:v>
                </c:pt>
                <c:pt idx="48">
                  <c:v>19.575448735471049</c:v>
                </c:pt>
                <c:pt idx="49">
                  <c:v>20.935300269724451</c:v>
                </c:pt>
                <c:pt idx="50">
                  <c:v>22.497761560638754</c:v>
                </c:pt>
                <c:pt idx="51">
                  <c:v>24.311858166274547</c:v>
                </c:pt>
                <c:pt idx="52">
                  <c:v>26.443852069215556</c:v>
                </c:pt>
                <c:pt idx="53">
                  <c:v>28.985564954652187</c:v>
                </c:pt>
                <c:pt idx="54">
                  <c:v>32.06805427210579</c:v>
                </c:pt>
                <c:pt idx="55">
                  <c:v>35.885154891376089</c:v>
                </c:pt>
                <c:pt idx="56">
                  <c:v>40.736362498210063</c:v>
                </c:pt>
                <c:pt idx="57">
                  <c:v>47.110654451298799</c:v>
                </c:pt>
                <c:pt idx="58">
                  <c:v>55.865862230934184</c:v>
                </c:pt>
                <c:pt idx="59">
                  <c:v>68.662128731928163</c:v>
                </c:pt>
                <c:pt idx="60">
                  <c:v>89.208219689017341</c:v>
                </c:pt>
                <c:pt idx="61">
                  <c:v>127.98579520581472</c:v>
                </c:pt>
                <c:pt idx="62">
                  <c:v>233.25611037511578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2B9-4841-ACE8-F0D671683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661904"/>
        <c:axId val="826041744"/>
      </c:scatterChart>
      <c:valAx>
        <c:axId val="800684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>
                    <a:solidFill>
                      <a:schemeClr val="tx1"/>
                    </a:solidFill>
                  </a:rPr>
                  <a:t>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689408"/>
        <c:crossesAt val="-70"/>
        <c:crossBetween val="midCat"/>
      </c:valAx>
      <c:valAx>
        <c:axId val="79368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>
                    <a:solidFill>
                      <a:schemeClr val="tx1"/>
                    </a:solidFill>
                  </a:rPr>
                  <a:t>Function f(T) to integrate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684560"/>
        <c:crosses val="autoZero"/>
        <c:crossBetween val="midCat"/>
      </c:valAx>
      <c:valAx>
        <c:axId val="8260417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>
                    <a:solidFill>
                      <a:schemeClr val="tx1"/>
                    </a:solidFill>
                  </a:rPr>
                  <a:t>time increment, s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 baseline="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661904"/>
        <c:crosses val="max"/>
        <c:crossBetween val="midCat"/>
      </c:valAx>
      <c:valAx>
        <c:axId val="794661904"/>
        <c:scaling>
          <c:orientation val="minMax"/>
        </c:scaling>
        <c:delete val="1"/>
        <c:axPos val="b"/>
        <c:numFmt formatCode="_(* #,##0.00_);_(* \(#,##0.00\);_(* &quot;-&quot;??_);_(@_)" sourceLinked="1"/>
        <c:majorTickMark val="out"/>
        <c:minorTickMark val="none"/>
        <c:tickLblPos val="nextTo"/>
        <c:crossAx val="826041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519175544233444"/>
          <c:y val="0.11309049206687002"/>
          <c:w val="0.27706731511502236"/>
          <c:h val="0.164041419480099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508000</xdr:colOff>
      <xdr:row>30</xdr:row>
      <xdr:rowOff>177800</xdr:rowOff>
    </xdr:from>
    <xdr:to>
      <xdr:col>29</xdr:col>
      <xdr:colOff>38100</xdr:colOff>
      <xdr:row>51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65B6CE-61CB-3043-8C65-E41DAE8056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19050</xdr:colOff>
      <xdr:row>4</xdr:row>
      <xdr:rowOff>12700</xdr:rowOff>
    </xdr:from>
    <xdr:to>
      <xdr:col>29</xdr:col>
      <xdr:colOff>38100</xdr:colOff>
      <xdr:row>29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2A0E4B1-A793-454E-9FF0-65E68CB485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0</xdr:colOff>
      <xdr:row>3</xdr:row>
      <xdr:rowOff>0</xdr:rowOff>
    </xdr:from>
    <xdr:to>
      <xdr:col>37</xdr:col>
      <xdr:colOff>698500</xdr:colOff>
      <xdr:row>23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65CE24C-B347-8948-8AD1-47DFBB8DE9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8A9D2-6FBB-FB40-BE38-3C3ED72F6858}">
  <dimension ref="A1:U85"/>
  <sheetViews>
    <sheetView tabSelected="1" zoomScale="150" zoomScaleNormal="150" workbookViewId="0">
      <selection activeCell="A4" sqref="A4"/>
    </sheetView>
  </sheetViews>
  <sheetFormatPr defaultColWidth="11" defaultRowHeight="15.75"/>
  <cols>
    <col min="2" max="2" width="24.875" bestFit="1" customWidth="1"/>
    <col min="3" max="3" width="8.375" bestFit="1" customWidth="1"/>
    <col min="4" max="4" width="8.5" bestFit="1" customWidth="1"/>
    <col min="5" max="5" width="3.375" customWidth="1"/>
    <col min="6" max="6" width="12.125" style="4" customWidth="1"/>
    <col min="7" max="7" width="11" style="4" bestFit="1" customWidth="1"/>
    <col min="8" max="8" width="8.625" style="4" hidden="1" customWidth="1"/>
    <col min="9" max="9" width="3.125" style="4" bestFit="1" customWidth="1"/>
    <col min="10" max="10" width="8.875" style="4" bestFit="1" customWidth="1"/>
    <col min="11" max="11" width="9.625" style="4" bestFit="1" customWidth="1"/>
    <col min="12" max="17" width="13" style="4" hidden="1" customWidth="1"/>
    <col min="18" max="18" width="8.125" style="4" bestFit="1" customWidth="1"/>
    <col min="19" max="19" width="11.125" style="4" bestFit="1" customWidth="1"/>
    <col min="20" max="20" width="10.875" style="4"/>
    <col min="21" max="21" width="6.375" style="4" bestFit="1" customWidth="1"/>
  </cols>
  <sheetData>
    <row r="1" spans="1:21">
      <c r="A1" t="s">
        <v>51</v>
      </c>
    </row>
    <row r="3" spans="1:21">
      <c r="B3" t="s">
        <v>0</v>
      </c>
      <c r="C3">
        <v>0.2</v>
      </c>
      <c r="D3" t="s">
        <v>6</v>
      </c>
    </row>
    <row r="4" spans="1:21">
      <c r="B4" t="s">
        <v>1</v>
      </c>
      <c r="C4">
        <v>381.2</v>
      </c>
      <c r="D4" t="s">
        <v>7</v>
      </c>
      <c r="L4" s="7" t="s">
        <v>35</v>
      </c>
      <c r="M4" s="7" t="s">
        <v>36</v>
      </c>
      <c r="N4" s="7" t="s">
        <v>37</v>
      </c>
      <c r="O4" s="7" t="s">
        <v>38</v>
      </c>
      <c r="P4" s="7" t="s">
        <v>39</v>
      </c>
      <c r="Q4" s="7" t="s">
        <v>40</v>
      </c>
      <c r="S4" s="4" t="s">
        <v>33</v>
      </c>
    </row>
    <row r="5" spans="1:21">
      <c r="B5" t="s">
        <v>2</v>
      </c>
      <c r="C5">
        <v>250</v>
      </c>
      <c r="D5" t="s">
        <v>8</v>
      </c>
      <c r="G5" s="7" t="s">
        <v>49</v>
      </c>
      <c r="S5" s="4" t="s">
        <v>33</v>
      </c>
    </row>
    <row r="6" spans="1:21">
      <c r="B6" t="s">
        <v>3</v>
      </c>
      <c r="C6" s="1">
        <v>5.676E-8</v>
      </c>
      <c r="D6" t="s">
        <v>9</v>
      </c>
      <c r="F6" s="7" t="s">
        <v>46</v>
      </c>
      <c r="G6" s="7">
        <v>5</v>
      </c>
      <c r="I6" s="7" t="s">
        <v>22</v>
      </c>
      <c r="R6" s="4" t="s">
        <v>43</v>
      </c>
      <c r="S6" s="4" t="s">
        <v>44</v>
      </c>
      <c r="T6" s="4" t="s">
        <v>42</v>
      </c>
    </row>
    <row r="7" spans="1:21">
      <c r="B7" t="s">
        <v>4</v>
      </c>
      <c r="C7">
        <v>0.22</v>
      </c>
      <c r="F7" s="5" t="s">
        <v>31</v>
      </c>
      <c r="G7" s="19" t="s">
        <v>14</v>
      </c>
      <c r="H7" s="5" t="s">
        <v>34</v>
      </c>
      <c r="I7" s="24" t="s">
        <v>23</v>
      </c>
      <c r="J7" s="5" t="s">
        <v>24</v>
      </c>
      <c r="K7" s="5" t="s">
        <v>21</v>
      </c>
      <c r="L7" s="5"/>
      <c r="M7" s="5"/>
      <c r="N7" s="5"/>
      <c r="O7" s="5"/>
      <c r="P7" s="5"/>
      <c r="Q7" s="5"/>
      <c r="R7" s="5" t="s">
        <v>25</v>
      </c>
      <c r="S7" s="6" t="s">
        <v>50</v>
      </c>
      <c r="T7" s="5" t="s">
        <v>32</v>
      </c>
      <c r="U7" s="5" t="s">
        <v>41</v>
      </c>
    </row>
    <row r="8" spans="1:21">
      <c r="B8" t="s">
        <v>5</v>
      </c>
      <c r="C8">
        <v>1E-3</v>
      </c>
      <c r="D8" t="s">
        <v>10</v>
      </c>
      <c r="F8" s="5" t="s">
        <v>20</v>
      </c>
      <c r="G8" s="19" t="s">
        <v>22</v>
      </c>
      <c r="H8" s="5"/>
      <c r="I8" s="5"/>
      <c r="J8" s="5" t="s">
        <v>47</v>
      </c>
      <c r="K8" s="5" t="s">
        <v>27</v>
      </c>
      <c r="L8" s="5"/>
      <c r="M8" s="5"/>
      <c r="N8" s="5"/>
      <c r="O8" s="5"/>
      <c r="P8" s="5"/>
      <c r="Q8" s="5"/>
      <c r="R8" s="5" t="s">
        <v>26</v>
      </c>
      <c r="S8" s="5" t="s">
        <v>26</v>
      </c>
      <c r="T8" s="5" t="s">
        <v>26</v>
      </c>
      <c r="U8" s="5" t="s">
        <v>45</v>
      </c>
    </row>
    <row r="9" spans="1:21">
      <c r="B9" t="s">
        <v>13</v>
      </c>
      <c r="C9" s="2">
        <f>SQRT(C8)</f>
        <v>3.1622776601683791E-2</v>
      </c>
      <c r="D9" t="s">
        <v>11</v>
      </c>
      <c r="F9" s="4">
        <v>0</v>
      </c>
      <c r="G9" s="8">
        <f>T0</f>
        <v>623</v>
      </c>
      <c r="H9" s="18">
        <f>($C$12-G9)/($C$12-T0)</f>
        <v>1</v>
      </c>
      <c r="I9" s="4">
        <v>1</v>
      </c>
      <c r="J9" s="8">
        <f>0.5*(G10-G9)*(K9+K10)</f>
        <v>4.7016430143878036</v>
      </c>
      <c r="K9" s="9">
        <f t="shared" ref="K9:K40" si="0">1/(phi0-(newalpha*$G9)-(newbeta*(($G9/100)^4)))</f>
        <v>-0.93273446179316455</v>
      </c>
      <c r="L9" s="10">
        <f t="shared" ref="L9:L40" si="1">(-1)*newalpha*G9</f>
        <v>-2.0428908709338929</v>
      </c>
      <c r="M9" s="10">
        <f t="shared" ref="M9:M40" si="2">(-1)*newbeta*((G9/100)^4)</f>
        <v>-2.4673704922196952E-2</v>
      </c>
      <c r="N9" s="10">
        <f t="shared" ref="N9:N40" si="3">phi0</f>
        <v>0.99544808293963993</v>
      </c>
      <c r="O9" s="10">
        <f>SUM(L9:N9)</f>
        <v>-1.0721164929164499</v>
      </c>
      <c r="P9" s="11">
        <f>1/O9</f>
        <v>-0.93273446179316455</v>
      </c>
      <c r="Q9" s="10">
        <f>P9-K9</f>
        <v>0</v>
      </c>
      <c r="R9" s="12"/>
      <c r="S9" s="12"/>
      <c r="T9" s="13"/>
      <c r="U9" s="13"/>
    </row>
    <row r="10" spans="1:21">
      <c r="B10" t="s">
        <v>13</v>
      </c>
      <c r="C10" s="2">
        <f>100*C9</f>
        <v>3.1622776601683791</v>
      </c>
      <c r="D10" t="s">
        <v>12</v>
      </c>
      <c r="F10" s="8">
        <f>F9+J10</f>
        <v>4.7787979314554274</v>
      </c>
      <c r="G10" s="8">
        <f t="shared" ref="G10:G41" si="4">G9-Tinterval</f>
        <v>618</v>
      </c>
      <c r="H10" s="18">
        <f t="shared" ref="H10:H40" si="5">($C$12-G10)/($C$12-T0)</f>
        <v>0.98436767234641243</v>
      </c>
      <c r="I10" s="4">
        <v>2</v>
      </c>
      <c r="J10" s="8">
        <f t="shared" ref="J10:J40" si="6">0.5*(G11-G10)*(K10+K11)</f>
        <v>4.7787979314554274</v>
      </c>
      <c r="K10" s="9">
        <f t="shared" si="0"/>
        <v>-0.94792274396195697</v>
      </c>
      <c r="L10" s="10">
        <f t="shared" si="1"/>
        <v>-2.0264952780692549</v>
      </c>
      <c r="M10" s="10">
        <f t="shared" si="2"/>
        <v>-2.3891096381758486E-2</v>
      </c>
      <c r="N10" s="10">
        <f t="shared" si="3"/>
        <v>0.99544808293963993</v>
      </c>
      <c r="O10" s="10">
        <f t="shared" ref="O10:O61" si="7">SUM(L10:N10)</f>
        <v>-1.0549382915113734</v>
      </c>
      <c r="P10" s="11">
        <f t="shared" ref="P10:P72" si="8">1/O10</f>
        <v>-0.94792274396195697</v>
      </c>
      <c r="Q10" s="10">
        <f t="shared" ref="Q10:Q72" si="9">P10-K10</f>
        <v>0</v>
      </c>
      <c r="R10" s="12">
        <f>$C$5*$C$8*($C$12-G10)</f>
        <v>-78.712500000000006</v>
      </c>
      <c r="S10" s="12">
        <f>$C$7*$C$6*$C$8*(($C$12^4)-(G10^4))</f>
        <v>-1.7159953448271128</v>
      </c>
      <c r="T10" s="13">
        <f>$C$3*$C$4*(G10-G9)/(F10-F9)</f>
        <v>-79.769014188867786</v>
      </c>
      <c r="U10" s="14">
        <f>(S10+R10-T10)/(R10+S10)</f>
        <v>8.1995958413978009E-3</v>
      </c>
    </row>
    <row r="11" spans="1:21">
      <c r="B11" t="s">
        <v>15</v>
      </c>
      <c r="C11">
        <v>623</v>
      </c>
      <c r="D11" t="s">
        <v>16</v>
      </c>
      <c r="F11" s="8">
        <f t="shared" ref="F11:F71" si="10">F10+J11</f>
        <v>9.6372375628524942</v>
      </c>
      <c r="G11" s="8">
        <f t="shared" si="4"/>
        <v>613</v>
      </c>
      <c r="H11" s="18">
        <f t="shared" si="5"/>
        <v>0.96873534469282474</v>
      </c>
      <c r="I11" s="4">
        <v>3</v>
      </c>
      <c r="J11" s="8">
        <f t="shared" si="6"/>
        <v>4.8584396313970677</v>
      </c>
      <c r="K11" s="9">
        <f t="shared" si="0"/>
        <v>-0.96359642862021411</v>
      </c>
      <c r="L11" s="10">
        <f t="shared" si="1"/>
        <v>-2.0100996852046169</v>
      </c>
      <c r="M11" s="10">
        <f t="shared" si="2"/>
        <v>-2.3127254420816885E-2</v>
      </c>
      <c r="N11" s="10">
        <f t="shared" si="3"/>
        <v>0.99544808293963993</v>
      </c>
      <c r="O11" s="10">
        <f t="shared" si="7"/>
        <v>-1.0377788566857939</v>
      </c>
      <c r="P11" s="11">
        <f t="shared" si="8"/>
        <v>-0.96359642862021411</v>
      </c>
      <c r="Q11" s="10">
        <f t="shared" si="9"/>
        <v>0</v>
      </c>
      <c r="R11" s="12">
        <f t="shared" ref="R11:R41" si="11">$C$5*$C$8*($C$12-G11)</f>
        <v>-77.462500000000006</v>
      </c>
      <c r="S11" s="12">
        <f t="shared" ref="S11:S41" si="12">$C$7*$C$6*$C$8*(($C$12^4)-(G11^4))</f>
        <v>-1.657760033724925</v>
      </c>
      <c r="T11" s="13">
        <f t="shared" ref="T11:T41" si="13">$C$3*$C$4*(G11-G10)/(F11-F10)</f>
        <v>-78.461405084986964</v>
      </c>
      <c r="U11" s="14">
        <f t="shared" ref="U11:U71" si="14">(S11+R11-T11)/(R11+S11)</f>
        <v>8.3272596482510518E-3</v>
      </c>
    </row>
    <row r="12" spans="1:21">
      <c r="B12" t="s">
        <v>17</v>
      </c>
      <c r="C12">
        <f>30+273.15</f>
        <v>303.14999999999998</v>
      </c>
      <c r="D12" t="s">
        <v>16</v>
      </c>
      <c r="F12" s="8">
        <f t="shared" si="10"/>
        <v>14.577929205231278</v>
      </c>
      <c r="G12" s="8">
        <f t="shared" si="4"/>
        <v>608</v>
      </c>
      <c r="H12" s="18">
        <f t="shared" si="5"/>
        <v>0.95310301703923717</v>
      </c>
      <c r="I12" s="4">
        <v>4</v>
      </c>
      <c r="J12" s="8">
        <f t="shared" si="6"/>
        <v>4.940691642378785</v>
      </c>
      <c r="K12" s="9">
        <f t="shared" si="0"/>
        <v>-0.97977942393861306</v>
      </c>
      <c r="L12" s="10">
        <f t="shared" si="1"/>
        <v>-1.9937040923399789</v>
      </c>
      <c r="M12" s="10">
        <f t="shared" si="2"/>
        <v>-2.2381876604760376E-2</v>
      </c>
      <c r="N12" s="10">
        <f t="shared" si="3"/>
        <v>0.99544808293963993</v>
      </c>
      <c r="O12" s="10">
        <f t="shared" si="7"/>
        <v>-1.0206378860050995</v>
      </c>
      <c r="P12" s="11">
        <f t="shared" si="8"/>
        <v>-0.97977942393861284</v>
      </c>
      <c r="Q12" s="10">
        <f t="shared" si="9"/>
        <v>0</v>
      </c>
      <c r="R12" s="12">
        <f t="shared" si="11"/>
        <v>-76.212500000000006</v>
      </c>
      <c r="S12" s="12">
        <f t="shared" si="12"/>
        <v>-1.600932429028777</v>
      </c>
      <c r="T12" s="13">
        <f t="shared" si="13"/>
        <v>-77.155189514410665</v>
      </c>
      <c r="U12" s="14">
        <f t="shared" si="14"/>
        <v>8.4592453265504904E-3</v>
      </c>
    </row>
    <row r="13" spans="1:21">
      <c r="B13" s="21" t="s">
        <v>18</v>
      </c>
      <c r="C13" s="1">
        <f>C5*C8/C3/C4</f>
        <v>3.279118572927597E-3</v>
      </c>
      <c r="D13" t="s">
        <v>28</v>
      </c>
      <c r="F13" s="8">
        <f t="shared" si="10"/>
        <v>19.603615010496384</v>
      </c>
      <c r="G13" s="8">
        <f t="shared" si="4"/>
        <v>603</v>
      </c>
      <c r="H13" s="18">
        <f t="shared" si="5"/>
        <v>0.93747068938564948</v>
      </c>
      <c r="I13" s="4">
        <v>5</v>
      </c>
      <c r="J13" s="8">
        <f t="shared" si="6"/>
        <v>5.0256858052651063</v>
      </c>
      <c r="K13" s="9">
        <f t="shared" si="0"/>
        <v>-0.99649723301290094</v>
      </c>
      <c r="L13" s="10">
        <f t="shared" si="1"/>
        <v>-1.9773084994753409</v>
      </c>
      <c r="M13" s="10">
        <f t="shared" si="2"/>
        <v>-2.1654662955797783E-2</v>
      </c>
      <c r="N13" s="10">
        <f t="shared" si="3"/>
        <v>0.99544808293963993</v>
      </c>
      <c r="O13" s="10">
        <f t="shared" si="7"/>
        <v>-1.0035150794914989</v>
      </c>
      <c r="P13" s="11">
        <f t="shared" si="8"/>
        <v>-0.99649723301290094</v>
      </c>
      <c r="Q13" s="10">
        <f t="shared" si="9"/>
        <v>0</v>
      </c>
      <c r="R13" s="12">
        <f t="shared" si="11"/>
        <v>-74.962500000000006</v>
      </c>
      <c r="S13" s="12">
        <f t="shared" si="12"/>
        <v>-1.5454896604318689</v>
      </c>
      <c r="T13" s="13">
        <f t="shared" si="13"/>
        <v>-75.850344564047347</v>
      </c>
      <c r="U13" s="14">
        <f t="shared" si="14"/>
        <v>8.5957701843085554E-3</v>
      </c>
    </row>
    <row r="14" spans="1:21">
      <c r="B14" s="22" t="s">
        <v>48</v>
      </c>
      <c r="C14" s="1">
        <f>C7*C6*C8/C3/C4*100000000</f>
        <v>1.6378803777544595E-5</v>
      </c>
      <c r="D14" t="s">
        <v>29</v>
      </c>
      <c r="F14" s="8">
        <f>F13+J14</f>
        <v>24.717177995252797</v>
      </c>
      <c r="G14" s="8">
        <f t="shared" si="4"/>
        <v>598</v>
      </c>
      <c r="H14" s="18">
        <f t="shared" si="5"/>
        <v>0.92183836173206191</v>
      </c>
      <c r="I14" s="4">
        <v>6</v>
      </c>
      <c r="J14" s="8">
        <f t="shared" si="6"/>
        <v>5.113562984756415</v>
      </c>
      <c r="K14" s="9">
        <f t="shared" si="0"/>
        <v>-1.0137770890931417</v>
      </c>
      <c r="L14" s="10">
        <f t="shared" si="1"/>
        <v>-1.9609129066107029</v>
      </c>
      <c r="M14" s="10">
        <f t="shared" si="2"/>
        <v>-2.0945315952958492E-2</v>
      </c>
      <c r="N14" s="10">
        <f t="shared" si="3"/>
        <v>0.99544808293963993</v>
      </c>
      <c r="O14" s="10">
        <f t="shared" si="7"/>
        <v>-0.98641013962402146</v>
      </c>
      <c r="P14" s="11">
        <f t="shared" si="8"/>
        <v>-1.0137770890931417</v>
      </c>
      <c r="Q14" s="10">
        <f t="shared" si="9"/>
        <v>0</v>
      </c>
      <c r="R14" s="12">
        <f t="shared" si="11"/>
        <v>-73.712500000000006</v>
      </c>
      <c r="S14" s="12">
        <f t="shared" si="12"/>
        <v>-1.4914090449354009</v>
      </c>
      <c r="T14" s="13">
        <f t="shared" si="13"/>
        <v>-74.546847498771669</v>
      </c>
      <c r="U14" s="14">
        <f t="shared" si="14"/>
        <v>8.7370663906729644E-3</v>
      </c>
    </row>
    <row r="15" spans="1:21">
      <c r="B15" s="23" t="s">
        <v>19</v>
      </c>
      <c r="C15" s="1">
        <f>C13*C12+C14*((C12/100)^4)</f>
        <v>0.99544808293963993</v>
      </c>
      <c r="D15" t="s">
        <v>30</v>
      </c>
      <c r="F15" s="8">
        <f t="shared" si="10"/>
        <v>29.921651850060872</v>
      </c>
      <c r="G15" s="8">
        <f t="shared" si="4"/>
        <v>593</v>
      </c>
      <c r="H15" s="18">
        <f t="shared" si="5"/>
        <v>0.90620603407847433</v>
      </c>
      <c r="I15" s="4">
        <v>7</v>
      </c>
      <c r="J15" s="8">
        <f t="shared" si="6"/>
        <v>5.2044738548080751</v>
      </c>
      <c r="K15" s="9">
        <f t="shared" si="0"/>
        <v>-1.0316481048094239</v>
      </c>
      <c r="L15" s="10">
        <f t="shared" si="1"/>
        <v>-1.944517313746065</v>
      </c>
      <c r="M15" s="10">
        <f t="shared" si="2"/>
        <v>-2.025354053209243E-2</v>
      </c>
      <c r="N15" s="10">
        <f t="shared" si="3"/>
        <v>0.99544808293963993</v>
      </c>
      <c r="O15" s="10">
        <f t="shared" si="7"/>
        <v>-0.96932277133851752</v>
      </c>
      <c r="P15" s="11">
        <f t="shared" si="8"/>
        <v>-1.0316481048094237</v>
      </c>
      <c r="Q15" s="10">
        <f t="shared" si="9"/>
        <v>0</v>
      </c>
      <c r="R15" s="12">
        <f t="shared" si="11"/>
        <v>-72.462500000000006</v>
      </c>
      <c r="S15" s="12">
        <f t="shared" si="12"/>
        <v>-1.4386680868485728</v>
      </c>
      <c r="T15" s="13">
        <f t="shared" si="13"/>
        <v>-73.244675760612012</v>
      </c>
      <c r="U15" s="14">
        <f t="shared" si="14"/>
        <v>8.8833822689387623E-3</v>
      </c>
    </row>
    <row r="16" spans="1:21">
      <c r="F16" s="8">
        <f t="shared" si="10"/>
        <v>35.220231617605585</v>
      </c>
      <c r="G16" s="8">
        <f t="shared" si="4"/>
        <v>588</v>
      </c>
      <c r="H16" s="18">
        <f t="shared" si="5"/>
        <v>0.89057370642488665</v>
      </c>
      <c r="I16" s="4">
        <v>8</v>
      </c>
      <c r="J16" s="8">
        <f t="shared" si="6"/>
        <v>5.2985797675447097</v>
      </c>
      <c r="K16" s="9">
        <f t="shared" si="0"/>
        <v>-1.050141437113806</v>
      </c>
      <c r="L16" s="10">
        <f t="shared" si="1"/>
        <v>-1.928121720881427</v>
      </c>
      <c r="M16" s="10">
        <f t="shared" si="2"/>
        <v>-1.9579044085870131E-2</v>
      </c>
      <c r="N16" s="10">
        <f t="shared" si="3"/>
        <v>0.99544808293963993</v>
      </c>
      <c r="O16" s="10">
        <f t="shared" si="7"/>
        <v>-0.95225268202765712</v>
      </c>
      <c r="P16" s="11">
        <f t="shared" si="8"/>
        <v>-1.050141437113806</v>
      </c>
      <c r="Q16" s="10">
        <f t="shared" si="9"/>
        <v>0</v>
      </c>
      <c r="R16" s="12">
        <f t="shared" si="11"/>
        <v>-71.212500000000006</v>
      </c>
      <c r="S16" s="12">
        <f t="shared" si="12"/>
        <v>-1.3872444777885848</v>
      </c>
      <c r="T16" s="13">
        <f t="shared" si="13"/>
        <v>-71.943806967851444</v>
      </c>
      <c r="U16" s="14">
        <f t="shared" si="14"/>
        <v>9.0349837269444698E-3</v>
      </c>
    </row>
    <row r="17" spans="3:21">
      <c r="F17" s="8">
        <f t="shared" si="10"/>
        <v>40.616285333818233</v>
      </c>
      <c r="G17" s="8">
        <f t="shared" si="4"/>
        <v>583</v>
      </c>
      <c r="H17" s="18">
        <f t="shared" si="5"/>
        <v>0.87494137877129907</v>
      </c>
      <c r="I17" s="4">
        <v>9</v>
      </c>
      <c r="J17" s="8">
        <f t="shared" si="6"/>
        <v>5.3960537162126503</v>
      </c>
      <c r="K17" s="9">
        <f t="shared" si="0"/>
        <v>-1.0692904699040779</v>
      </c>
      <c r="L17" s="10">
        <f t="shared" si="1"/>
        <v>-1.911726128016789</v>
      </c>
      <c r="M17" s="10">
        <f t="shared" si="2"/>
        <v>-1.8921536463782678E-2</v>
      </c>
      <c r="N17" s="10">
        <f t="shared" si="3"/>
        <v>0.99544808293963993</v>
      </c>
      <c r="O17" s="10">
        <f t="shared" si="7"/>
        <v>-0.93519958154093175</v>
      </c>
      <c r="P17" s="11">
        <f t="shared" si="8"/>
        <v>-1.0692904699040779</v>
      </c>
      <c r="Q17" s="10">
        <f t="shared" si="9"/>
        <v>0</v>
      </c>
      <c r="R17" s="12">
        <f t="shared" si="11"/>
        <v>-69.962500000000006</v>
      </c>
      <c r="S17" s="12">
        <f t="shared" si="12"/>
        <v>-1.3371160966806368</v>
      </c>
      <c r="T17" s="13">
        <f t="shared" si="13"/>
        <v>-70.644218914031583</v>
      </c>
      <c r="U17" s="14">
        <f t="shared" si="14"/>
        <v>9.1921558421906562E-3</v>
      </c>
    </row>
    <row r="18" spans="3:21">
      <c r="F18" s="8">
        <f t="shared" si="10"/>
        <v>46.113366738081425</v>
      </c>
      <c r="G18" s="8">
        <f t="shared" si="4"/>
        <v>578</v>
      </c>
      <c r="H18" s="18">
        <f t="shared" si="5"/>
        <v>0.85930905111771139</v>
      </c>
      <c r="I18" s="4">
        <v>10</v>
      </c>
      <c r="J18" s="8">
        <f t="shared" si="6"/>
        <v>5.4970814042631915</v>
      </c>
      <c r="K18" s="9">
        <f t="shared" si="0"/>
        <v>-1.0891310165809818</v>
      </c>
      <c r="L18" s="10">
        <f t="shared" si="1"/>
        <v>-1.895330535152151</v>
      </c>
      <c r="M18" s="10">
        <f t="shared" si="2"/>
        <v>-1.82807299721417E-2</v>
      </c>
      <c r="N18" s="10">
        <f t="shared" si="3"/>
        <v>0.99544808293963993</v>
      </c>
      <c r="O18" s="10">
        <f t="shared" si="7"/>
        <v>-0.91816318218465276</v>
      </c>
      <c r="P18" s="11">
        <f t="shared" si="8"/>
        <v>-1.0891310165809818</v>
      </c>
      <c r="Q18" s="10">
        <f t="shared" si="9"/>
        <v>0</v>
      </c>
      <c r="R18" s="12">
        <f t="shared" si="11"/>
        <v>-68.712500000000006</v>
      </c>
      <c r="S18" s="12">
        <f t="shared" si="12"/>
        <v>-1.2882610097579288</v>
      </c>
      <c r="T18" s="13">
        <f t="shared" si="13"/>
        <v>-69.345889566846367</v>
      </c>
      <c r="U18" s="14">
        <f t="shared" si="14"/>
        <v>9.3552046215652288E-3</v>
      </c>
    </row>
    <row r="19" spans="3:21">
      <c r="F19" s="8">
        <f t="shared" si="10"/>
        <v>51.71522917255129</v>
      </c>
      <c r="G19" s="8">
        <f t="shared" si="4"/>
        <v>573</v>
      </c>
      <c r="H19" s="18">
        <f t="shared" si="5"/>
        <v>0.84367672346412381</v>
      </c>
      <c r="I19" s="4">
        <v>11</v>
      </c>
      <c r="J19" s="8">
        <f t="shared" si="6"/>
        <v>5.6018624344698651</v>
      </c>
      <c r="K19" s="9">
        <f t="shared" si="0"/>
        <v>-1.1097015451242946</v>
      </c>
      <c r="L19" s="10">
        <f t="shared" si="1"/>
        <v>-1.878934942287513</v>
      </c>
      <c r="M19" s="10">
        <f t="shared" si="2"/>
        <v>-1.7656339374079424E-2</v>
      </c>
      <c r="N19" s="10">
        <f t="shared" si="3"/>
        <v>0.99544808293963993</v>
      </c>
      <c r="O19" s="10">
        <f t="shared" si="7"/>
        <v>-0.90114319872195248</v>
      </c>
      <c r="P19" s="11">
        <f t="shared" si="8"/>
        <v>-1.1097015451242946</v>
      </c>
      <c r="Q19" s="10">
        <f t="shared" si="9"/>
        <v>0</v>
      </c>
      <c r="R19" s="12">
        <f t="shared" si="11"/>
        <v>-67.462500000000006</v>
      </c>
      <c r="S19" s="12">
        <f t="shared" si="12"/>
        <v>-1.2406574705616609</v>
      </c>
      <c r="T19" s="13">
        <f t="shared" si="13"/>
        <v>-68.048797066912442</v>
      </c>
      <c r="U19" s="14">
        <f t="shared" si="14"/>
        <v>9.5244589585217459E-3</v>
      </c>
    </row>
    <row r="20" spans="3:21">
      <c r="C20" s="20"/>
      <c r="F20" s="8">
        <f t="shared" si="10"/>
        <v>57.425840806655593</v>
      </c>
      <c r="G20" s="8">
        <f t="shared" si="4"/>
        <v>568</v>
      </c>
      <c r="H20" s="18">
        <f t="shared" si="5"/>
        <v>0.82804439581053624</v>
      </c>
      <c r="I20" s="4">
        <v>12</v>
      </c>
      <c r="J20" s="8">
        <f t="shared" si="6"/>
        <v>5.7106116341043025</v>
      </c>
      <c r="K20" s="9">
        <f t="shared" si="0"/>
        <v>-1.1310434286636515</v>
      </c>
      <c r="L20" s="10">
        <f t="shared" si="1"/>
        <v>-1.862539349422875</v>
      </c>
      <c r="M20" s="10">
        <f t="shared" si="2"/>
        <v>-1.7048081889548622E-2</v>
      </c>
      <c r="N20" s="10">
        <f t="shared" si="3"/>
        <v>0.99544808293963993</v>
      </c>
      <c r="O20" s="10">
        <f t="shared" si="7"/>
        <v>-0.88413934837278374</v>
      </c>
      <c r="P20" s="11">
        <f t="shared" si="8"/>
        <v>-1.1310434286636515</v>
      </c>
      <c r="Q20" s="10">
        <f t="shared" si="9"/>
        <v>0</v>
      </c>
      <c r="R20" s="12">
        <f t="shared" si="11"/>
        <v>-66.212500000000006</v>
      </c>
      <c r="S20" s="12">
        <f t="shared" si="12"/>
        <v>-1.1942839199410329</v>
      </c>
      <c r="T20" s="13">
        <f t="shared" si="13"/>
        <v>-66.752919726398162</v>
      </c>
      <c r="U20" s="14">
        <f t="shared" si="14"/>
        <v>9.7002728140756084E-3</v>
      </c>
    </row>
    <row r="21" spans="3:21">
      <c r="F21" s="8">
        <f t="shared" si="10"/>
        <v>63.249401341343564</v>
      </c>
      <c r="G21" s="8">
        <f t="shared" si="4"/>
        <v>563</v>
      </c>
      <c r="H21" s="18">
        <f t="shared" si="5"/>
        <v>0.81241206815694855</v>
      </c>
      <c r="I21" s="4">
        <v>13</v>
      </c>
      <c r="J21" s="8">
        <f t="shared" si="6"/>
        <v>5.8235605346879735</v>
      </c>
      <c r="K21" s="9">
        <f t="shared" si="0"/>
        <v>-1.1532012249780694</v>
      </c>
      <c r="L21" s="10">
        <f t="shared" si="1"/>
        <v>-1.846143756558237</v>
      </c>
      <c r="M21" s="10">
        <f t="shared" si="2"/>
        <v>-1.6455677195322652E-2</v>
      </c>
      <c r="N21" s="10">
        <f t="shared" si="3"/>
        <v>0.99544808293963993</v>
      </c>
      <c r="O21" s="10">
        <f t="shared" si="7"/>
        <v>-0.8671513508139197</v>
      </c>
      <c r="P21" s="11">
        <f t="shared" si="8"/>
        <v>-1.1532012249780697</v>
      </c>
      <c r="Q21" s="10">
        <f t="shared" si="9"/>
        <v>0</v>
      </c>
      <c r="R21" s="12">
        <f t="shared" si="11"/>
        <v>-64.962500000000006</v>
      </c>
      <c r="S21" s="12">
        <f t="shared" si="12"/>
        <v>-1.1491189860532449</v>
      </c>
      <c r="T21" s="13">
        <f t="shared" si="13"/>
        <v>-65.458236027493257</v>
      </c>
      <c r="U21" s="14">
        <f t="shared" si="14"/>
        <v>9.8830276520353207E-3</v>
      </c>
    </row>
    <row r="22" spans="3:21">
      <c r="F22" s="8">
        <f t="shared" si="10"/>
        <v>69.190360369118224</v>
      </c>
      <c r="G22" s="8">
        <f t="shared" si="4"/>
        <v>558</v>
      </c>
      <c r="H22" s="18">
        <f t="shared" si="5"/>
        <v>0.79677974050336098</v>
      </c>
      <c r="I22" s="4">
        <v>14</v>
      </c>
      <c r="J22" s="8">
        <f t="shared" si="6"/>
        <v>5.9409590277746656</v>
      </c>
      <c r="K22" s="9">
        <f t="shared" si="0"/>
        <v>-1.1762229888971201</v>
      </c>
      <c r="L22" s="10">
        <f t="shared" si="1"/>
        <v>-1.8297481636935991</v>
      </c>
      <c r="M22" s="10">
        <f t="shared" si="2"/>
        <v>-1.5878847424995426E-2</v>
      </c>
      <c r="N22" s="10">
        <f t="shared" si="3"/>
        <v>0.99544808293963993</v>
      </c>
      <c r="O22" s="10">
        <f t="shared" si="7"/>
        <v>-0.85017892817895446</v>
      </c>
      <c r="P22" s="11">
        <f t="shared" si="8"/>
        <v>-1.1762229888971203</v>
      </c>
      <c r="Q22" s="10">
        <f t="shared" si="9"/>
        <v>0</v>
      </c>
      <c r="R22" s="12">
        <f t="shared" si="11"/>
        <v>-63.712500000000006</v>
      </c>
      <c r="S22" s="12">
        <f t="shared" si="12"/>
        <v>-1.1051414843634968</v>
      </c>
      <c r="T22" s="13">
        <f t="shared" si="13"/>
        <v>-64.164724620696177</v>
      </c>
      <c r="U22" s="14">
        <f t="shared" si="14"/>
        <v>1.0073135163747629E-2</v>
      </c>
    </row>
    <row r="23" spans="3:21">
      <c r="D23" s="3"/>
      <c r="E23" s="3"/>
      <c r="F23" s="8">
        <f t="shared" si="10"/>
        <v>75.25343759080927</v>
      </c>
      <c r="G23" s="8">
        <f t="shared" si="4"/>
        <v>553</v>
      </c>
      <c r="H23" s="18">
        <f t="shared" si="5"/>
        <v>0.78114741284977329</v>
      </c>
      <c r="I23" s="4">
        <v>15</v>
      </c>
      <c r="J23" s="8">
        <f t="shared" si="6"/>
        <v>6.0630772216910405</v>
      </c>
      <c r="K23" s="9">
        <f t="shared" si="0"/>
        <v>-1.2001606222127463</v>
      </c>
      <c r="L23" s="10">
        <f t="shared" si="1"/>
        <v>-1.8133525708289611</v>
      </c>
      <c r="M23" s="10">
        <f t="shared" si="2"/>
        <v>-1.531731716898142E-2</v>
      </c>
      <c r="N23" s="10">
        <f t="shared" si="3"/>
        <v>0.99544808293963993</v>
      </c>
      <c r="O23" s="10">
        <f>SUM(L23:N23)</f>
        <v>-0.83322180505830246</v>
      </c>
      <c r="P23" s="11">
        <f t="shared" si="8"/>
        <v>-1.2001606222127466</v>
      </c>
      <c r="Q23" s="10">
        <f t="shared" si="9"/>
        <v>0</v>
      </c>
      <c r="R23" s="12">
        <f t="shared" si="11"/>
        <v>-62.462500000000006</v>
      </c>
      <c r="S23" s="12">
        <f t="shared" si="12"/>
        <v>-1.0623304176449888</v>
      </c>
      <c r="T23" s="13">
        <f t="shared" si="13"/>
        <v>-62.8723643228941</v>
      </c>
      <c r="U23" s="14">
        <f t="shared" si="14"/>
        <v>1.0271040323307334E-2</v>
      </c>
    </row>
    <row r="24" spans="3:21">
      <c r="F24" s="8">
        <f t="shared" si="10"/>
        <v>81.443645119089823</v>
      </c>
      <c r="G24" s="8">
        <f t="shared" si="4"/>
        <v>548</v>
      </c>
      <c r="H24" s="18">
        <f t="shared" si="5"/>
        <v>0.76551508519618572</v>
      </c>
      <c r="I24" s="4">
        <v>16</v>
      </c>
      <c r="J24" s="8">
        <f t="shared" si="6"/>
        <v>6.1902075282805562</v>
      </c>
      <c r="K24" s="9">
        <f t="shared" si="0"/>
        <v>-1.2250702664636695</v>
      </c>
      <c r="L24" s="10">
        <f t="shared" si="1"/>
        <v>-1.7969569779643231</v>
      </c>
      <c r="M24" s="10">
        <f t="shared" si="2"/>
        <v>-1.4770813474515679E-2</v>
      </c>
      <c r="N24" s="10">
        <f t="shared" si="3"/>
        <v>0.99544808293963993</v>
      </c>
      <c r="O24" s="10">
        <f t="shared" si="7"/>
        <v>-0.81627970849919884</v>
      </c>
      <c r="P24" s="11">
        <f t="shared" si="8"/>
        <v>-1.2250702664636695</v>
      </c>
      <c r="Q24" s="10">
        <f t="shared" si="9"/>
        <v>0</v>
      </c>
      <c r="R24" s="12">
        <f t="shared" si="11"/>
        <v>-61.212500000000006</v>
      </c>
      <c r="S24" s="12">
        <f t="shared" si="12"/>
        <v>-1.0206649759789208</v>
      </c>
      <c r="T24" s="13">
        <f t="shared" si="13"/>
        <v>-61.581134115205586</v>
      </c>
      <c r="U24" s="14">
        <f t="shared" si="14"/>
        <v>1.0477224820961801E-2</v>
      </c>
    </row>
    <row r="25" spans="3:21">
      <c r="F25" s="8">
        <f t="shared" si="10"/>
        <v>87.7663121326853</v>
      </c>
      <c r="G25" s="8">
        <f t="shared" si="4"/>
        <v>543</v>
      </c>
      <c r="H25" s="18">
        <f t="shared" si="5"/>
        <v>0.74988275754259814</v>
      </c>
      <c r="I25" s="4">
        <v>17</v>
      </c>
      <c r="J25" s="8">
        <f t="shared" si="6"/>
        <v>6.322667013595483</v>
      </c>
      <c r="K25" s="9">
        <f t="shared" si="0"/>
        <v>-1.2510127448485528</v>
      </c>
      <c r="L25" s="10">
        <f t="shared" si="1"/>
        <v>-1.7805613850996851</v>
      </c>
      <c r="M25" s="10">
        <f t="shared" si="2"/>
        <v>-1.4239065845653815E-2</v>
      </c>
      <c r="N25" s="10">
        <f t="shared" si="3"/>
        <v>0.99544808293963993</v>
      </c>
      <c r="O25" s="10">
        <f t="shared" si="7"/>
        <v>-0.79935236800569887</v>
      </c>
      <c r="P25" s="11">
        <f t="shared" si="8"/>
        <v>-1.2510127448485531</v>
      </c>
      <c r="Q25" s="10">
        <f t="shared" si="9"/>
        <v>0</v>
      </c>
      <c r="R25" s="12">
        <f t="shared" si="11"/>
        <v>-59.962500000000006</v>
      </c>
      <c r="S25" s="12">
        <f t="shared" si="12"/>
        <v>-0.98012453675449285</v>
      </c>
      <c r="T25" s="13">
        <f t="shared" si="13"/>
        <v>-60.291013140548898</v>
      </c>
      <c r="U25" s="14">
        <f t="shared" si="14"/>
        <v>1.0692210930505883E-2</v>
      </c>
    </row>
    <row r="26" spans="3:21">
      <c r="F26" s="8">
        <f t="shared" si="10"/>
        <v>94.227112185016338</v>
      </c>
      <c r="G26" s="8">
        <f t="shared" si="4"/>
        <v>538</v>
      </c>
      <c r="H26" s="18">
        <f t="shared" si="5"/>
        <v>0.73425042988901046</v>
      </c>
      <c r="I26" s="4">
        <v>18</v>
      </c>
      <c r="J26" s="8">
        <f t="shared" si="6"/>
        <v>6.4608000523310318</v>
      </c>
      <c r="K26" s="9">
        <f t="shared" si="0"/>
        <v>-1.2780540605896404</v>
      </c>
      <c r="L26" s="10">
        <f t="shared" si="1"/>
        <v>-1.7641657922350471</v>
      </c>
      <c r="M26" s="10">
        <f t="shared" si="2"/>
        <v>-1.3721806243272024E-2</v>
      </c>
      <c r="N26" s="10">
        <f t="shared" si="3"/>
        <v>0.99544808293963993</v>
      </c>
      <c r="O26" s="10">
        <f t="shared" si="7"/>
        <v>-0.78243951553867919</v>
      </c>
      <c r="P26" s="11">
        <f t="shared" si="8"/>
        <v>-1.2780540605896404</v>
      </c>
      <c r="Q26" s="10">
        <f t="shared" si="9"/>
        <v>0</v>
      </c>
      <c r="R26" s="12">
        <f t="shared" si="11"/>
        <v>-58.712500000000006</v>
      </c>
      <c r="S26" s="12">
        <f t="shared" si="12"/>
        <v>-0.94068866466890477</v>
      </c>
      <c r="T26" s="13">
        <f t="shared" si="13"/>
        <v>-59.001980700898507</v>
      </c>
      <c r="U26" s="14">
        <f t="shared" si="14"/>
        <v>1.0916565875984724E-2</v>
      </c>
    </row>
    <row r="27" spans="3:21">
      <c r="F27" s="8">
        <f t="shared" si="10"/>
        <v>100.83209351782038</v>
      </c>
      <c r="G27" s="8">
        <f t="shared" si="4"/>
        <v>533</v>
      </c>
      <c r="H27" s="18">
        <f t="shared" si="5"/>
        <v>0.71861810223542288</v>
      </c>
      <c r="I27" s="4">
        <v>19</v>
      </c>
      <c r="J27" s="8">
        <f t="shared" si="6"/>
        <v>6.6049813328040496</v>
      </c>
      <c r="K27" s="9">
        <f t="shared" si="0"/>
        <v>-1.3062659603427722</v>
      </c>
      <c r="L27" s="10">
        <f t="shared" si="1"/>
        <v>-1.7477701993704091</v>
      </c>
      <c r="M27" s="10">
        <f t="shared" si="2"/>
        <v>-1.321876908506704E-2</v>
      </c>
      <c r="N27" s="10">
        <f t="shared" si="3"/>
        <v>0.99544808293963993</v>
      </c>
      <c r="O27" s="10">
        <f t="shared" si="7"/>
        <v>-0.76554088551583632</v>
      </c>
      <c r="P27" s="11">
        <f t="shared" si="8"/>
        <v>-1.306265960342772</v>
      </c>
      <c r="Q27" s="10">
        <f t="shared" si="9"/>
        <v>0</v>
      </c>
      <c r="R27" s="12">
        <f t="shared" si="11"/>
        <v>-57.462500000000006</v>
      </c>
      <c r="S27" s="12">
        <f t="shared" si="12"/>
        <v>-0.90233711172735676</v>
      </c>
      <c r="T27" s="13">
        <f t="shared" si="13"/>
        <v>-57.714016254178773</v>
      </c>
      <c r="U27" s="14">
        <f t="shared" si="14"/>
        <v>1.1150906774617168E-2</v>
      </c>
    </row>
    <row r="28" spans="3:21">
      <c r="F28" s="8">
        <f t="shared" si="10"/>
        <v>107.58771278552749</v>
      </c>
      <c r="G28" s="8">
        <f t="shared" si="4"/>
        <v>528</v>
      </c>
      <c r="H28" s="18">
        <f t="shared" si="5"/>
        <v>0.70298577458183531</v>
      </c>
      <c r="I28" s="4">
        <v>20</v>
      </c>
      <c r="J28" s="8">
        <f t="shared" si="6"/>
        <v>6.7556192677071083</v>
      </c>
      <c r="K28" s="9">
        <f t="shared" si="0"/>
        <v>-1.3357265727788477</v>
      </c>
      <c r="L28" s="10">
        <f t="shared" si="1"/>
        <v>-1.7313746065057711</v>
      </c>
      <c r="M28" s="10">
        <f t="shared" si="2"/>
        <v>-1.2729691245556183E-2</v>
      </c>
      <c r="N28" s="10">
        <f t="shared" si="3"/>
        <v>0.99544808293963993</v>
      </c>
      <c r="O28" s="10">
        <f t="shared" si="7"/>
        <v>-0.74865621481168731</v>
      </c>
      <c r="P28" s="11">
        <f t="shared" si="8"/>
        <v>-1.3357265727788479</v>
      </c>
      <c r="Q28" s="10">
        <f t="shared" si="9"/>
        <v>0</v>
      </c>
      <c r="R28" s="12">
        <f t="shared" si="11"/>
        <v>-56.212500000000006</v>
      </c>
      <c r="S28" s="12">
        <f t="shared" si="12"/>
        <v>-0.86504981724304875</v>
      </c>
      <c r="T28" s="13">
        <f t="shared" si="13"/>
        <v>-56.427099410737142</v>
      </c>
      <c r="U28" s="14">
        <f t="shared" si="14"/>
        <v>1.1395906246652002E-2</v>
      </c>
    </row>
    <row r="29" spans="3:21">
      <c r="F29" s="8">
        <f t="shared" si="10"/>
        <v>114.50087266157178</v>
      </c>
      <c r="G29" s="8">
        <f t="shared" si="4"/>
        <v>523</v>
      </c>
      <c r="H29" s="18">
        <f t="shared" si="5"/>
        <v>0.68735344692824762</v>
      </c>
      <c r="I29" s="4">
        <v>21</v>
      </c>
      <c r="J29" s="8">
        <f t="shared" si="6"/>
        <v>6.9131598760442898</v>
      </c>
      <c r="K29" s="9">
        <f t="shared" si="0"/>
        <v>-1.3665211343039956</v>
      </c>
      <c r="L29" s="10">
        <f t="shared" si="1"/>
        <v>-1.7149790136411331</v>
      </c>
      <c r="M29" s="10">
        <f t="shared" si="2"/>
        <v>-1.2254312056077327E-2</v>
      </c>
      <c r="N29" s="10">
        <f t="shared" si="3"/>
        <v>0.99544808293963993</v>
      </c>
      <c r="O29" s="10">
        <f t="shared" si="7"/>
        <v>-0.73178524275757062</v>
      </c>
      <c r="P29" s="11">
        <f t="shared" si="8"/>
        <v>-1.3665211343039954</v>
      </c>
      <c r="Q29" s="10">
        <f t="shared" si="9"/>
        <v>0</v>
      </c>
      <c r="R29" s="12">
        <f t="shared" si="11"/>
        <v>-54.962500000000006</v>
      </c>
      <c r="S29" s="12">
        <f t="shared" si="12"/>
        <v>-0.8288069078371807</v>
      </c>
      <c r="T29" s="13">
        <f t="shared" si="13"/>
        <v>-55.141209929333016</v>
      </c>
      <c r="U29" s="14">
        <f t="shared" si="14"/>
        <v>1.1652298799490068E-2</v>
      </c>
    </row>
    <row r="30" spans="3:21">
      <c r="F30" s="8">
        <f t="shared" si="10"/>
        <v>121.57896387556133</v>
      </c>
      <c r="G30" s="8">
        <f t="shared" si="4"/>
        <v>518</v>
      </c>
      <c r="H30" s="18">
        <f t="shared" si="5"/>
        <v>0.67172111927466005</v>
      </c>
      <c r="I30" s="4">
        <v>22</v>
      </c>
      <c r="J30" s="8">
        <f t="shared" si="6"/>
        <v>7.0780912139895591</v>
      </c>
      <c r="K30" s="9">
        <f t="shared" si="0"/>
        <v>-1.3987428161137208</v>
      </c>
      <c r="L30" s="10">
        <f t="shared" si="1"/>
        <v>-1.6985834207764952</v>
      </c>
      <c r="M30" s="10">
        <f t="shared" si="2"/>
        <v>-1.1792373304788915E-2</v>
      </c>
      <c r="N30" s="10">
        <f t="shared" si="3"/>
        <v>0.99544808293963993</v>
      </c>
      <c r="O30" s="10">
        <f t="shared" si="7"/>
        <v>-0.71492771114164411</v>
      </c>
      <c r="P30" s="11">
        <f t="shared" si="8"/>
        <v>-1.3987428161137208</v>
      </c>
      <c r="Q30" s="10">
        <f t="shared" si="9"/>
        <v>0</v>
      </c>
      <c r="R30" s="12">
        <f t="shared" si="11"/>
        <v>-53.712500000000006</v>
      </c>
      <c r="S30" s="12">
        <f t="shared" si="12"/>
        <v>-0.79358869743895266</v>
      </c>
      <c r="T30" s="13">
        <f t="shared" si="13"/>
        <v>-53.856327712558169</v>
      </c>
      <c r="U30" s="14">
        <f t="shared" si="14"/>
        <v>1.1920888113758975E-2</v>
      </c>
    </row>
    <row r="31" spans="3:21">
      <c r="F31" s="8">
        <f t="shared" si="10"/>
        <v>128.82991232298482</v>
      </c>
      <c r="G31" s="8">
        <f t="shared" si="4"/>
        <v>513</v>
      </c>
      <c r="H31" s="18">
        <f t="shared" si="5"/>
        <v>0.65608879162107236</v>
      </c>
      <c r="I31" s="4">
        <v>23</v>
      </c>
      <c r="J31" s="8">
        <f t="shared" si="6"/>
        <v>7.2509484474234949</v>
      </c>
      <c r="K31" s="9">
        <f t="shared" si="0"/>
        <v>-1.4324936694821029</v>
      </c>
      <c r="L31" s="10">
        <f t="shared" si="1"/>
        <v>-1.6821878279118572</v>
      </c>
      <c r="M31" s="10">
        <f t="shared" si="2"/>
        <v>-1.1343619236669978E-2</v>
      </c>
      <c r="N31" s="10">
        <f t="shared" si="3"/>
        <v>0.99544808293963993</v>
      </c>
      <c r="O31" s="10">
        <f t="shared" si="7"/>
        <v>-0.69808336420888728</v>
      </c>
      <c r="P31" s="11">
        <f t="shared" si="8"/>
        <v>-1.4324936694821027</v>
      </c>
      <c r="Q31" s="10">
        <f t="shared" si="9"/>
        <v>0</v>
      </c>
      <c r="R31" s="12">
        <f t="shared" si="11"/>
        <v>-52.462500000000006</v>
      </c>
      <c r="S31" s="12">
        <f t="shared" si="12"/>
        <v>-0.7593756872855647</v>
      </c>
      <c r="T31" s="13">
        <f t="shared" si="13"/>
        <v>-52.572432801594807</v>
      </c>
      <c r="U31" s="14">
        <f t="shared" si="14"/>
        <v>1.2202555383554603E-2</v>
      </c>
    </row>
    <row r="32" spans="3:21">
      <c r="F32" s="8">
        <f t="shared" si="10"/>
        <v>136.26223200024774</v>
      </c>
      <c r="G32" s="8">
        <f t="shared" si="4"/>
        <v>508</v>
      </c>
      <c r="H32" s="18">
        <f t="shared" si="5"/>
        <v>0.64045646396748479</v>
      </c>
      <c r="I32" s="4">
        <v>24</v>
      </c>
      <c r="J32" s="8">
        <f t="shared" si="6"/>
        <v>7.4323196772629005</v>
      </c>
      <c r="K32" s="9">
        <f t="shared" si="0"/>
        <v>-1.467885709487295</v>
      </c>
      <c r="L32" s="10">
        <f t="shared" si="1"/>
        <v>-1.6657922350472192</v>
      </c>
      <c r="M32" s="10">
        <f t="shared" si="2"/>
        <v>-1.0907796553520083E-2</v>
      </c>
      <c r="N32" s="10">
        <f t="shared" si="3"/>
        <v>0.99544808293963993</v>
      </c>
      <c r="O32" s="10">
        <f t="shared" si="7"/>
        <v>-0.68125194866109928</v>
      </c>
      <c r="P32" s="11">
        <f t="shared" si="8"/>
        <v>-1.467885709487295</v>
      </c>
      <c r="Q32" s="10">
        <f t="shared" si="9"/>
        <v>0</v>
      </c>
      <c r="R32" s="12">
        <f t="shared" si="11"/>
        <v>-51.212500000000006</v>
      </c>
      <c r="S32" s="12">
        <f t="shared" si="12"/>
        <v>-0.72614856592221666</v>
      </c>
      <c r="T32" s="13">
        <f t="shared" si="13"/>
        <v>-51.289505370197418</v>
      </c>
      <c r="U32" s="14">
        <f t="shared" si="14"/>
        <v>1.2498268893170955E-2</v>
      </c>
    </row>
    <row r="33" spans="6:21">
      <c r="F33" s="8">
        <f t="shared" si="10"/>
        <v>143.88508465149636</v>
      </c>
      <c r="G33" s="8">
        <f t="shared" si="4"/>
        <v>503</v>
      </c>
      <c r="H33" s="18">
        <f t="shared" si="5"/>
        <v>0.62482413631389722</v>
      </c>
      <c r="I33" s="4">
        <v>25</v>
      </c>
      <c r="J33" s="8">
        <f t="shared" si="6"/>
        <v>7.622852651248615</v>
      </c>
      <c r="K33" s="9">
        <f t="shared" si="0"/>
        <v>-1.5050421614178653</v>
      </c>
      <c r="L33" s="10">
        <f t="shared" si="1"/>
        <v>-1.6493966421825812</v>
      </c>
      <c r="M33" s="10">
        <f t="shared" si="2"/>
        <v>-1.0484654413959382E-2</v>
      </c>
      <c r="N33" s="10">
        <f t="shared" si="3"/>
        <v>0.99544808293963993</v>
      </c>
      <c r="O33" s="10">
        <f t="shared" si="7"/>
        <v>-0.66443321365690067</v>
      </c>
      <c r="P33" s="11">
        <f t="shared" si="8"/>
        <v>-1.5050421614178653</v>
      </c>
      <c r="Q33" s="10">
        <f t="shared" si="9"/>
        <v>0</v>
      </c>
      <c r="R33" s="12">
        <f t="shared" si="11"/>
        <v>-49.962500000000006</v>
      </c>
      <c r="S33" s="12">
        <f t="shared" si="12"/>
        <v>-0.6938882092021087</v>
      </c>
      <c r="T33" s="13">
        <f t="shared" si="13"/>
        <v>-50.007525717758632</v>
      </c>
      <c r="U33" s="14">
        <f t="shared" si="14"/>
        <v>1.2809095049646869E-2</v>
      </c>
    </row>
    <row r="34" spans="6:21">
      <c r="F34" s="8">
        <f t="shared" si="10"/>
        <v>151.70834717518784</v>
      </c>
      <c r="G34" s="8">
        <f t="shared" si="4"/>
        <v>498</v>
      </c>
      <c r="H34" s="18">
        <f t="shared" si="5"/>
        <v>0.60919180866030953</v>
      </c>
      <c r="I34" s="4">
        <v>26</v>
      </c>
      <c r="J34" s="8">
        <f t="shared" si="6"/>
        <v>7.8232625236914908</v>
      </c>
      <c r="K34" s="9">
        <f t="shared" si="0"/>
        <v>-1.5440988990815805</v>
      </c>
      <c r="L34" s="10">
        <f t="shared" si="1"/>
        <v>-1.6330010493179432</v>
      </c>
      <c r="M34" s="10">
        <f t="shared" si="2"/>
        <v>-1.0073944433428584E-2</v>
      </c>
      <c r="N34" s="10">
        <f t="shared" si="3"/>
        <v>0.99544808293963993</v>
      </c>
      <c r="O34" s="10">
        <f t="shared" si="7"/>
        <v>-0.64762691081173185</v>
      </c>
      <c r="P34" s="11">
        <f t="shared" si="8"/>
        <v>-1.5440988990815805</v>
      </c>
      <c r="Q34" s="10">
        <f t="shared" si="9"/>
        <v>0</v>
      </c>
      <c r="R34" s="12">
        <f t="shared" si="11"/>
        <v>-48.712500000000006</v>
      </c>
      <c r="S34" s="12">
        <f t="shared" si="12"/>
        <v>-0.66257568028644065</v>
      </c>
      <c r="T34" s="13">
        <f t="shared" si="13"/>
        <v>-48.726474261294129</v>
      </c>
      <c r="U34" s="14">
        <f t="shared" si="14"/>
        <v>1.3136211136001871E-2</v>
      </c>
    </row>
    <row r="35" spans="6:21">
      <c r="F35" s="8">
        <f t="shared" si="10"/>
        <v>159.74268803439529</v>
      </c>
      <c r="G35" s="8">
        <f t="shared" si="4"/>
        <v>493</v>
      </c>
      <c r="H35" s="18">
        <f t="shared" si="5"/>
        <v>0.59355948100672196</v>
      </c>
      <c r="I35" s="4">
        <v>27</v>
      </c>
      <c r="J35" s="8">
        <f t="shared" si="6"/>
        <v>8.0343408592074379</v>
      </c>
      <c r="K35" s="9">
        <f t="shared" si="0"/>
        <v>-1.5852061103950159</v>
      </c>
      <c r="L35" s="10">
        <f t="shared" si="1"/>
        <v>-1.6166054564533052</v>
      </c>
      <c r="M35" s="10">
        <f t="shared" si="2"/>
        <v>-9.6754206841889682E-3</v>
      </c>
      <c r="N35" s="10">
        <f t="shared" si="3"/>
        <v>0.99544808293963993</v>
      </c>
      <c r="O35" s="10">
        <f t="shared" si="7"/>
        <v>-0.63083279419785421</v>
      </c>
      <c r="P35" s="11">
        <f t="shared" si="8"/>
        <v>-1.5852061103950159</v>
      </c>
      <c r="Q35" s="10">
        <f t="shared" si="9"/>
        <v>0</v>
      </c>
      <c r="R35" s="12">
        <f t="shared" si="11"/>
        <v>-47.462500000000006</v>
      </c>
      <c r="S35" s="12">
        <f t="shared" si="12"/>
        <v>-0.63219222964441268</v>
      </c>
      <c r="T35" s="13">
        <f t="shared" si="13"/>
        <v>-47.446331526143858</v>
      </c>
      <c r="U35" s="14">
        <f t="shared" si="14"/>
        <v>1.3480920106625063E-2</v>
      </c>
    </row>
    <row r="36" spans="6:21">
      <c r="F36" s="8">
        <f t="shared" si="10"/>
        <v>167.99965415393433</v>
      </c>
      <c r="G36" s="8">
        <f t="shared" si="4"/>
        <v>488</v>
      </c>
      <c r="H36" s="18">
        <f t="shared" si="5"/>
        <v>0.57792715335313427</v>
      </c>
      <c r="I36" s="4">
        <v>28</v>
      </c>
      <c r="J36" s="8">
        <f t="shared" si="6"/>
        <v>8.2569661195390438</v>
      </c>
      <c r="K36" s="9">
        <f t="shared" si="0"/>
        <v>-1.6285302332879594</v>
      </c>
      <c r="L36" s="10">
        <f t="shared" si="1"/>
        <v>-1.6002098635886672</v>
      </c>
      <c r="M36" s="10">
        <f t="shared" si="2"/>
        <v>-9.2888396953223901E-3</v>
      </c>
      <c r="N36" s="10">
        <f t="shared" si="3"/>
        <v>0.99544808293963993</v>
      </c>
      <c r="O36" s="10">
        <f t="shared" si="7"/>
        <v>-0.61405062034434965</v>
      </c>
      <c r="P36" s="11">
        <f t="shared" si="8"/>
        <v>-1.6285302332879594</v>
      </c>
      <c r="Q36" s="10">
        <f t="shared" si="9"/>
        <v>0</v>
      </c>
      <c r="R36" s="12">
        <f t="shared" si="11"/>
        <v>-46.212500000000006</v>
      </c>
      <c r="S36" s="12">
        <f t="shared" si="12"/>
        <v>-0.60271929505322464</v>
      </c>
      <c r="T36" s="13">
        <f t="shared" si="13"/>
        <v>-46.167078135144507</v>
      </c>
      <c r="U36" s="14">
        <f t="shared" si="14"/>
        <v>1.3844667816758718E-2</v>
      </c>
    </row>
    <row r="37" spans="6:21">
      <c r="F37" s="8">
        <f t="shared" si="10"/>
        <v>176.49177008050918</v>
      </c>
      <c r="G37" s="8">
        <f t="shared" si="4"/>
        <v>483</v>
      </c>
      <c r="H37" s="18">
        <f t="shared" si="5"/>
        <v>0.5622948256995467</v>
      </c>
      <c r="I37" s="4">
        <v>29</v>
      </c>
      <c r="J37" s="8">
        <f t="shared" si="6"/>
        <v>8.4921159265748454</v>
      </c>
      <c r="K37" s="9">
        <f t="shared" si="0"/>
        <v>-1.674256214527658</v>
      </c>
      <c r="L37" s="10">
        <f t="shared" si="1"/>
        <v>-1.5838142707240292</v>
      </c>
      <c r="M37" s="10">
        <f t="shared" si="2"/>
        <v>-8.913960452731259E-3</v>
      </c>
      <c r="N37" s="10">
        <f t="shared" si="3"/>
        <v>0.99544808293963993</v>
      </c>
      <c r="O37" s="10">
        <f t="shared" si="7"/>
        <v>-0.59728014823712061</v>
      </c>
      <c r="P37" s="11">
        <f t="shared" si="8"/>
        <v>-1.674256214527658</v>
      </c>
      <c r="Q37" s="10">
        <f t="shared" si="9"/>
        <v>0</v>
      </c>
      <c r="R37" s="12">
        <f t="shared" si="11"/>
        <v>-44.962500000000006</v>
      </c>
      <c r="S37" s="12">
        <f t="shared" si="12"/>
        <v>-0.57413850159807667</v>
      </c>
      <c r="T37" s="13">
        <f t="shared" si="13"/>
        <v>-44.888694795968277</v>
      </c>
      <c r="U37" s="14">
        <f t="shared" si="14"/>
        <v>1.4229063166510798E-2</v>
      </c>
    </row>
    <row r="38" spans="6:21">
      <c r="F38" s="8">
        <f t="shared" si="10"/>
        <v>185.23265154332904</v>
      </c>
      <c r="G38" s="8">
        <f t="shared" si="4"/>
        <v>478</v>
      </c>
      <c r="H38" s="18">
        <f t="shared" si="5"/>
        <v>0.54666249804595912</v>
      </c>
      <c r="I38" s="4">
        <v>30</v>
      </c>
      <c r="J38" s="8">
        <f t="shared" si="6"/>
        <v>8.7408814628198623</v>
      </c>
      <c r="K38" s="9">
        <f t="shared" si="0"/>
        <v>-1.7225901561022798</v>
      </c>
      <c r="L38" s="10">
        <f t="shared" si="1"/>
        <v>-1.5674186778593913</v>
      </c>
      <c r="M38" s="10">
        <f t="shared" si="2"/>
        <v>-8.5505443991385523E-3</v>
      </c>
      <c r="N38" s="10">
        <f t="shared" si="3"/>
        <v>0.99544808293963993</v>
      </c>
      <c r="O38" s="10">
        <f t="shared" si="7"/>
        <v>-0.58052113931888982</v>
      </c>
      <c r="P38" s="11">
        <f t="shared" si="8"/>
        <v>-1.7225901561022803</v>
      </c>
      <c r="Q38" s="10">
        <f t="shared" si="9"/>
        <v>0</v>
      </c>
      <c r="R38" s="12">
        <f t="shared" si="11"/>
        <v>-43.712500000000006</v>
      </c>
      <c r="S38" s="12">
        <f t="shared" si="12"/>
        <v>-0.54643166167216872</v>
      </c>
      <c r="T38" s="13">
        <f t="shared" si="13"/>
        <v>-43.611162286260175</v>
      </c>
      <c r="U38" s="14">
        <f t="shared" si="14"/>
        <v>1.4635901751170357E-2</v>
      </c>
    </row>
    <row r="39" spans="6:21">
      <c r="F39" s="8">
        <f t="shared" si="10"/>
        <v>194.23713600040207</v>
      </c>
      <c r="G39" s="8">
        <f t="shared" si="4"/>
        <v>473</v>
      </c>
      <c r="H39" s="18">
        <f t="shared" si="5"/>
        <v>0.53103017039237144</v>
      </c>
      <c r="I39" s="4">
        <v>31</v>
      </c>
      <c r="J39" s="8">
        <f t="shared" si="6"/>
        <v>9.0044844570730387</v>
      </c>
      <c r="K39" s="9">
        <f t="shared" si="0"/>
        <v>-1.7737624290256648</v>
      </c>
      <c r="L39" s="10">
        <f t="shared" si="1"/>
        <v>-1.5510230849947533</v>
      </c>
      <c r="M39" s="10">
        <f t="shared" si="2"/>
        <v>-8.1983554340878204E-3</v>
      </c>
      <c r="N39" s="10">
        <f t="shared" si="3"/>
        <v>0.99544808293963993</v>
      </c>
      <c r="O39" s="10">
        <f t="shared" si="7"/>
        <v>-0.56377335748920121</v>
      </c>
      <c r="P39" s="11">
        <f t="shared" si="8"/>
        <v>-1.7737624290256648</v>
      </c>
      <c r="Q39" s="10">
        <f t="shared" si="9"/>
        <v>0</v>
      </c>
      <c r="R39" s="12">
        <f t="shared" si="11"/>
        <v>-42.462500000000006</v>
      </c>
      <c r="S39" s="12">
        <f t="shared" si="12"/>
        <v>-0.51958077497670063</v>
      </c>
      <c r="T39" s="13">
        <f t="shared" si="13"/>
        <v>-42.33446143610886</v>
      </c>
      <c r="U39" s="14">
        <f t="shared" si="14"/>
        <v>1.5067193751235957E-2</v>
      </c>
    </row>
    <row r="40" spans="6:21">
      <c r="F40" s="8">
        <f t="shared" si="10"/>
        <v>203.52143331399793</v>
      </c>
      <c r="G40" s="8">
        <f t="shared" si="4"/>
        <v>468</v>
      </c>
      <c r="H40" s="18">
        <f t="shared" si="5"/>
        <v>0.51539784273878386</v>
      </c>
      <c r="I40" s="4">
        <v>32</v>
      </c>
      <c r="J40" s="8">
        <f t="shared" si="6"/>
        <v>9.2842973135958715</v>
      </c>
      <c r="K40" s="9">
        <f t="shared" si="0"/>
        <v>-1.8280313538035509</v>
      </c>
      <c r="L40" s="10">
        <f t="shared" si="1"/>
        <v>-1.5346274921301153</v>
      </c>
      <c r="M40" s="10">
        <f t="shared" si="2"/>
        <v>-7.8571599139431667E-3</v>
      </c>
      <c r="N40" s="10">
        <f t="shared" si="3"/>
        <v>0.99544808293963993</v>
      </c>
      <c r="O40" s="10">
        <f t="shared" si="7"/>
        <v>-0.54703656910441856</v>
      </c>
      <c r="P40" s="11">
        <f t="shared" si="8"/>
        <v>-1.8280313538035509</v>
      </c>
      <c r="Q40" s="10">
        <f t="shared" si="9"/>
        <v>0</v>
      </c>
      <c r="R40" s="12">
        <f t="shared" si="11"/>
        <v>-41.212500000000006</v>
      </c>
      <c r="S40" s="12">
        <f t="shared" si="12"/>
        <v>-0.49356802852087267</v>
      </c>
      <c r="T40" s="13">
        <f t="shared" si="13"/>
        <v>-41.058573107280125</v>
      </c>
      <c r="U40" s="14">
        <f t="shared" si="14"/>
        <v>1.5525196976084255E-2</v>
      </c>
    </row>
    <row r="41" spans="6:21">
      <c r="F41" s="8">
        <f t="shared" si="10"/>
        <v>213.10330039926268</v>
      </c>
      <c r="G41" s="8">
        <f t="shared" si="4"/>
        <v>463</v>
      </c>
      <c r="H41" s="18">
        <f t="shared" ref="H41:H72" si="15">($C$12-G41)/($C$12-T0)</f>
        <v>0.49976551508519623</v>
      </c>
      <c r="I41" s="4">
        <v>33</v>
      </c>
      <c r="J41" s="8">
        <f t="shared" ref="J41:J71" si="16">0.5*(G42-G41)*(K41+K42)</f>
        <v>9.5818670852647543</v>
      </c>
      <c r="K41" s="9">
        <f t="shared" ref="K41:K72" si="17">1/(phi0-(newalpha*$G41)-(newbeta*(($G41/100)^4)))</f>
        <v>-1.8856875716347972</v>
      </c>
      <c r="L41" s="10">
        <f t="shared" ref="L41:L72" si="18">(-1)*newalpha*G41</f>
        <v>-1.5182318992654773</v>
      </c>
      <c r="M41" s="10">
        <f t="shared" ref="M41:M72" si="19">(-1)*newbeta*((G41/100)^4)</f>
        <v>-7.5267266518892848E-3</v>
      </c>
      <c r="N41" s="10">
        <f t="shared" ref="N41:N72" si="20">phi0</f>
        <v>0.99544808293963993</v>
      </c>
      <c r="O41" s="10">
        <f t="shared" si="7"/>
        <v>-0.53031054297772662</v>
      </c>
      <c r="P41" s="11">
        <f t="shared" si="8"/>
        <v>-1.8856875716347972</v>
      </c>
      <c r="Q41" s="10">
        <f t="shared" si="9"/>
        <v>0</v>
      </c>
      <c r="R41" s="12">
        <f t="shared" si="11"/>
        <v>-39.962500000000006</v>
      </c>
      <c r="S41" s="12">
        <f t="shared" si="12"/>
        <v>-0.46837579662188467</v>
      </c>
      <c r="T41" s="13">
        <f t="shared" si="13"/>
        <v>-39.783478168489687</v>
      </c>
      <c r="U41" s="14">
        <f t="shared" si="14"/>
        <v>1.601245620769599E-2</v>
      </c>
    </row>
    <row r="42" spans="6:21">
      <c r="F42" s="8">
        <f t="shared" si="10"/>
        <v>223.00224457477384</v>
      </c>
      <c r="G42" s="8">
        <f t="shared" ref="G42:G72" si="21">G41-Tinterval</f>
        <v>458</v>
      </c>
      <c r="H42" s="18">
        <f t="shared" si="15"/>
        <v>0.4841331874316086</v>
      </c>
      <c r="I42" s="4">
        <v>34</v>
      </c>
      <c r="J42" s="8">
        <f t="shared" si="16"/>
        <v>9.8989441755111525</v>
      </c>
      <c r="K42" s="9">
        <f t="shared" si="17"/>
        <v>-1.9470592624711043</v>
      </c>
      <c r="L42" s="10">
        <f t="shared" si="18"/>
        <v>-1.5018363064008393</v>
      </c>
      <c r="M42" s="10">
        <f t="shared" si="19"/>
        <v>-7.206826917931417E-3</v>
      </c>
      <c r="N42" s="10">
        <f t="shared" si="20"/>
        <v>0.99544808293963993</v>
      </c>
      <c r="O42" s="10">
        <f t="shared" si="7"/>
        <v>-0.51359505037913089</v>
      </c>
      <c r="P42" s="11">
        <f t="shared" si="8"/>
        <v>-1.9470592624711038</v>
      </c>
      <c r="Q42" s="10">
        <f t="shared" si="9"/>
        <v>0</v>
      </c>
      <c r="R42" s="12">
        <f t="shared" ref="R42:R72" si="22">$C$5*$C$8*($C$12-G42)</f>
        <v>-38.712500000000006</v>
      </c>
      <c r="S42" s="12">
        <f t="shared" ref="S42:S72" si="23">$C$7*$C$6*$C$8*(($C$12^4)-(G42^4))</f>
        <v>-0.44398664090493667</v>
      </c>
      <c r="T42" s="13">
        <f t="shared" ref="T42:T71" si="24">$C$3*$C$4*(G42-G41)/(F42-F41)</f>
        <v>-38.509157465807768</v>
      </c>
      <c r="U42" s="14">
        <f t="shared" si="14"/>
        <v>1.6531850291720055E-2</v>
      </c>
    </row>
    <row r="43" spans="6:21">
      <c r="F43" s="8">
        <f t="shared" si="10"/>
        <v>233.23976146936772</v>
      </c>
      <c r="G43" s="8">
        <f t="shared" si="21"/>
        <v>453</v>
      </c>
      <c r="H43" s="18">
        <f t="shared" si="15"/>
        <v>0.46850085977802097</v>
      </c>
      <c r="I43" s="4">
        <v>35</v>
      </c>
      <c r="J43" s="8">
        <f t="shared" si="16"/>
        <v>10.237516894593883</v>
      </c>
      <c r="K43" s="9">
        <f t="shared" si="17"/>
        <v>-2.0125184077333569</v>
      </c>
      <c r="L43" s="10">
        <f t="shared" si="18"/>
        <v>-1.4854407135362013</v>
      </c>
      <c r="M43" s="10">
        <f t="shared" si="19"/>
        <v>-6.8972344388953727E-3</v>
      </c>
      <c r="N43" s="10">
        <f t="shared" si="20"/>
        <v>0.99544808293963993</v>
      </c>
      <c r="O43" s="10">
        <f t="shared" si="7"/>
        <v>-0.49688986503545673</v>
      </c>
      <c r="P43" s="11">
        <f t="shared" si="8"/>
        <v>-2.0125184077333569</v>
      </c>
      <c r="Q43" s="10">
        <f t="shared" si="9"/>
        <v>0</v>
      </c>
      <c r="R43" s="12">
        <f t="shared" si="22"/>
        <v>-37.462500000000006</v>
      </c>
      <c r="S43" s="12">
        <f t="shared" si="23"/>
        <v>-0.42038331030322867</v>
      </c>
      <c r="T43" s="13">
        <f t="shared" si="24"/>
        <v>-37.235591787037734</v>
      </c>
      <c r="U43" s="14">
        <f t="shared" si="14"/>
        <v>1.7086648816127821E-2</v>
      </c>
    </row>
    <row r="44" spans="6:21">
      <c r="F44" s="8">
        <f t="shared" si="10"/>
        <v>243.83961478216244</v>
      </c>
      <c r="G44" s="8">
        <f t="shared" si="21"/>
        <v>448</v>
      </c>
      <c r="H44" s="18">
        <f t="shared" si="15"/>
        <v>0.45286853212443334</v>
      </c>
      <c r="I44" s="4">
        <v>36</v>
      </c>
      <c r="J44" s="8">
        <f t="shared" si="16"/>
        <v>10.599853312794732</v>
      </c>
      <c r="K44" s="9">
        <f t="shared" si="17"/>
        <v>-2.0824883501041964</v>
      </c>
      <c r="L44" s="10">
        <f t="shared" si="18"/>
        <v>-1.4690451206715633</v>
      </c>
      <c r="M44" s="10">
        <f t="shared" si="19"/>
        <v>-6.5977253984275354E-3</v>
      </c>
      <c r="N44" s="10">
        <f t="shared" si="20"/>
        <v>0.99544808293963993</v>
      </c>
      <c r="O44" s="10">
        <f t="shared" si="7"/>
        <v>-0.48019476313035092</v>
      </c>
      <c r="P44" s="11">
        <f t="shared" si="8"/>
        <v>-2.0824883501041964</v>
      </c>
      <c r="Q44" s="10">
        <f t="shared" si="9"/>
        <v>0</v>
      </c>
      <c r="R44" s="12">
        <f t="shared" si="22"/>
        <v>-36.212500000000006</v>
      </c>
      <c r="S44" s="12">
        <f t="shared" si="23"/>
        <v>-0.39754874105796068</v>
      </c>
      <c r="T44" s="13">
        <f t="shared" si="24"/>
        <v>-35.962761818587289</v>
      </c>
      <c r="U44" s="14">
        <f t="shared" si="14"/>
        <v>1.7680580734784661E-2</v>
      </c>
    </row>
    <row r="45" spans="6:21">
      <c r="F45" s="8">
        <f t="shared" si="10"/>
        <v>254.82816705650859</v>
      </c>
      <c r="G45" s="8">
        <f t="shared" si="21"/>
        <v>443</v>
      </c>
      <c r="H45" s="18">
        <f t="shared" si="15"/>
        <v>0.43723620447084577</v>
      </c>
      <c r="I45" s="4">
        <v>37</v>
      </c>
      <c r="J45" s="8">
        <f t="shared" si="16"/>
        <v>10.988552274346146</v>
      </c>
      <c r="K45" s="9">
        <f t="shared" si="17"/>
        <v>-2.1574529750136962</v>
      </c>
      <c r="L45" s="10">
        <f t="shared" si="18"/>
        <v>-1.4526495278069256</v>
      </c>
      <c r="M45" s="10">
        <f t="shared" si="19"/>
        <v>-6.3080784369948448E-3</v>
      </c>
      <c r="N45" s="10">
        <f t="shared" si="20"/>
        <v>0.99544808293963993</v>
      </c>
      <c r="O45" s="10">
        <f t="shared" si="7"/>
        <v>-0.46350952330428052</v>
      </c>
      <c r="P45" s="11">
        <f t="shared" si="8"/>
        <v>-2.1574529750136957</v>
      </c>
      <c r="Q45" s="10">
        <f t="shared" si="9"/>
        <v>0</v>
      </c>
      <c r="R45" s="12">
        <f t="shared" si="22"/>
        <v>-34.962500000000006</v>
      </c>
      <c r="S45" s="12">
        <f t="shared" si="23"/>
        <v>-0.37546605671833266</v>
      </c>
      <c r="T45" s="13">
        <f t="shared" si="24"/>
        <v>-34.690648092920185</v>
      </c>
      <c r="U45" s="14">
        <f t="shared" si="14"/>
        <v>1.8317917979749878E-2</v>
      </c>
    </row>
    <row r="46" spans="6:21">
      <c r="F46" s="8">
        <f t="shared" si="10"/>
        <v>266.23477305728107</v>
      </c>
      <c r="G46" s="8">
        <f t="shared" si="21"/>
        <v>438</v>
      </c>
      <c r="H46" s="18">
        <f t="shared" si="15"/>
        <v>0.42160387681725814</v>
      </c>
      <c r="I46" s="4">
        <v>38</v>
      </c>
      <c r="J46" s="8">
        <f t="shared" si="16"/>
        <v>11.406606000772461</v>
      </c>
      <c r="K46" s="9">
        <f t="shared" si="17"/>
        <v>-2.2379679347247623</v>
      </c>
      <c r="L46" s="10">
        <f t="shared" si="18"/>
        <v>-1.4362539349422876</v>
      </c>
      <c r="M46" s="10">
        <f t="shared" si="19"/>
        <v>-6.0280746518848261E-3</v>
      </c>
      <c r="N46" s="10">
        <f t="shared" si="20"/>
        <v>0.99544808293963993</v>
      </c>
      <c r="O46" s="10">
        <f t="shared" si="7"/>
        <v>-0.44683392665453248</v>
      </c>
      <c r="P46" s="11">
        <f t="shared" si="8"/>
        <v>-2.2379679347247623</v>
      </c>
      <c r="Q46" s="10">
        <f t="shared" si="9"/>
        <v>0</v>
      </c>
      <c r="R46" s="12">
        <f t="shared" si="22"/>
        <v>-33.712500000000006</v>
      </c>
      <c r="S46" s="12">
        <f t="shared" si="23"/>
        <v>-0.35411856814154463</v>
      </c>
      <c r="T46" s="13">
        <f t="shared" si="24"/>
        <v>-33.419230924096453</v>
      </c>
      <c r="U46" s="14">
        <f t="shared" si="14"/>
        <v>1.9003578026100924E-2</v>
      </c>
    </row>
    <row r="47" spans="6:21">
      <c r="F47" s="8">
        <f t="shared" si="10"/>
        <v>278.0922505347375</v>
      </c>
      <c r="G47" s="8">
        <f t="shared" si="21"/>
        <v>433</v>
      </c>
      <c r="H47" s="18">
        <f t="shared" si="15"/>
        <v>0.40597154916367051</v>
      </c>
      <c r="I47" s="4">
        <v>39</v>
      </c>
      <c r="J47" s="8">
        <f t="shared" si="16"/>
        <v>11.857477477456428</v>
      </c>
      <c r="K47" s="9">
        <f t="shared" si="17"/>
        <v>-2.3246744655842217</v>
      </c>
      <c r="L47" s="10">
        <f t="shared" si="18"/>
        <v>-1.4198583420776496</v>
      </c>
      <c r="M47" s="10">
        <f t="shared" si="19"/>
        <v>-5.7574975972055501E-3</v>
      </c>
      <c r="N47" s="10">
        <f t="shared" si="20"/>
        <v>0.99544808293963993</v>
      </c>
      <c r="O47" s="10">
        <f t="shared" si="7"/>
        <v>-0.43016775673521512</v>
      </c>
      <c r="P47" s="11">
        <f t="shared" si="8"/>
        <v>-2.3246744655842222</v>
      </c>
      <c r="Q47" s="10">
        <f t="shared" si="9"/>
        <v>0</v>
      </c>
      <c r="R47" s="12">
        <f t="shared" si="22"/>
        <v>-32.462500000000006</v>
      </c>
      <c r="S47" s="12">
        <f t="shared" si="23"/>
        <v>-0.33348977349279663</v>
      </c>
      <c r="T47" s="13">
        <f t="shared" si="24"/>
        <v>-32.1484903281277</v>
      </c>
      <c r="U47" s="14">
        <f t="shared" si="14"/>
        <v>1.9743250618050795E-2</v>
      </c>
    </row>
    <row r="48" spans="6:21">
      <c r="F48" s="8">
        <f t="shared" si="10"/>
        <v>290.43744739951944</v>
      </c>
      <c r="G48" s="8">
        <f t="shared" si="21"/>
        <v>428</v>
      </c>
      <c r="H48" s="18">
        <f t="shared" si="15"/>
        <v>0.39033922151008288</v>
      </c>
      <c r="I48" s="4">
        <v>40</v>
      </c>
      <c r="J48" s="8">
        <f t="shared" si="16"/>
        <v>12.345196864781961</v>
      </c>
      <c r="K48" s="9">
        <f t="shared" si="17"/>
        <v>-2.4183165253983496</v>
      </c>
      <c r="L48" s="10">
        <f t="shared" si="18"/>
        <v>-1.4034627492130116</v>
      </c>
      <c r="M48" s="10">
        <f t="shared" si="19"/>
        <v>-5.4961332838856661E-3</v>
      </c>
      <c r="N48" s="10">
        <f t="shared" si="20"/>
        <v>0.99544808293963993</v>
      </c>
      <c r="O48" s="10">
        <f t="shared" si="7"/>
        <v>-0.41351079955725734</v>
      </c>
      <c r="P48" s="11">
        <f t="shared" si="8"/>
        <v>-2.4183165253983496</v>
      </c>
      <c r="Q48" s="10">
        <f t="shared" si="9"/>
        <v>0</v>
      </c>
      <c r="R48" s="12">
        <f t="shared" si="22"/>
        <v>-31.212500000000006</v>
      </c>
      <c r="S48" s="12">
        <f t="shared" si="23"/>
        <v>-0.31356335824528864</v>
      </c>
      <c r="T48" s="13">
        <f t="shared" si="24"/>
        <v>-30.878405923803253</v>
      </c>
      <c r="U48" s="14">
        <f t="shared" si="14"/>
        <v>2.0543555568052055E-2</v>
      </c>
    </row>
    <row r="49" spans="6:21">
      <c r="F49" s="8">
        <f t="shared" si="10"/>
        <v>303.31193002549611</v>
      </c>
      <c r="G49" s="8">
        <f t="shared" si="21"/>
        <v>423</v>
      </c>
      <c r="H49" s="18">
        <f t="shared" si="15"/>
        <v>0.37470689385649525</v>
      </c>
      <c r="I49" s="4">
        <v>41</v>
      </c>
      <c r="J49" s="8">
        <f t="shared" si="16"/>
        <v>12.874482625976659</v>
      </c>
      <c r="K49" s="9">
        <f t="shared" si="17"/>
        <v>-2.5197622205144348</v>
      </c>
      <c r="L49" s="10">
        <f t="shared" si="18"/>
        <v>-1.3870671563483736</v>
      </c>
      <c r="M49" s="10">
        <f t="shared" si="19"/>
        <v>-5.2437701796743882E-3</v>
      </c>
      <c r="N49" s="10">
        <f t="shared" si="20"/>
        <v>0.99544808293963993</v>
      </c>
      <c r="O49" s="10">
        <f t="shared" si="7"/>
        <v>-0.39686284358840807</v>
      </c>
      <c r="P49" s="11">
        <f t="shared" si="8"/>
        <v>-2.5197622205144348</v>
      </c>
      <c r="Q49" s="10">
        <f t="shared" si="9"/>
        <v>0</v>
      </c>
      <c r="R49" s="12">
        <f t="shared" si="22"/>
        <v>-29.962500000000006</v>
      </c>
      <c r="S49" s="12">
        <f t="shared" si="23"/>
        <v>-0.29432319518022065</v>
      </c>
      <c r="T49" s="13">
        <f t="shared" si="24"/>
        <v>-29.608956808163921</v>
      </c>
      <c r="U49" s="14">
        <f t="shared" si="14"/>
        <v>2.1412240896443686E-2</v>
      </c>
    </row>
    <row r="50" spans="6:21">
      <c r="F50" s="8">
        <f t="shared" si="10"/>
        <v>316.7628251235376</v>
      </c>
      <c r="G50" s="8">
        <f t="shared" si="21"/>
        <v>418</v>
      </c>
      <c r="H50" s="18">
        <f t="shared" si="15"/>
        <v>0.35907456620290767</v>
      </c>
      <c r="I50" s="4">
        <v>42</v>
      </c>
      <c r="J50" s="8">
        <f t="shared" si="16"/>
        <v>13.450895098041467</v>
      </c>
      <c r="K50" s="9">
        <f t="shared" si="17"/>
        <v>-2.6300308298762292</v>
      </c>
      <c r="L50" s="10">
        <f t="shared" si="18"/>
        <v>-1.3706715634837356</v>
      </c>
      <c r="M50" s="10">
        <f t="shared" si="19"/>
        <v>-5.0001992091414874E-3</v>
      </c>
      <c r="N50" s="10">
        <f t="shared" si="20"/>
        <v>0.99544808293963993</v>
      </c>
      <c r="O50" s="10">
        <f t="shared" si="7"/>
        <v>-0.38022367975323723</v>
      </c>
      <c r="P50" s="11">
        <f t="shared" si="8"/>
        <v>-2.6300308298762287</v>
      </c>
      <c r="Q50" s="10">
        <f t="shared" si="9"/>
        <v>0</v>
      </c>
      <c r="R50" s="12">
        <f t="shared" si="22"/>
        <v>-28.712500000000006</v>
      </c>
      <c r="S50" s="12">
        <f t="shared" si="23"/>
        <v>-0.27575334438679266</v>
      </c>
      <c r="T50" s="13">
        <f t="shared" si="24"/>
        <v>-28.340121398724204</v>
      </c>
      <c r="U50" s="14">
        <f t="shared" si="14"/>
        <v>2.2358433878807572E-2</v>
      </c>
    </row>
    <row r="51" spans="6:21">
      <c r="F51" s="8">
        <f t="shared" si="10"/>
        <v>330.84385824653879</v>
      </c>
      <c r="G51" s="8">
        <f t="shared" si="21"/>
        <v>413</v>
      </c>
      <c r="H51" s="18">
        <f t="shared" si="15"/>
        <v>0.34344223854932004</v>
      </c>
      <c r="I51" s="4">
        <v>43</v>
      </c>
      <c r="J51" s="8">
        <f t="shared" si="16"/>
        <v>14.081033123001205</v>
      </c>
      <c r="K51" s="9">
        <f t="shared" si="17"/>
        <v>-2.7503272093403579</v>
      </c>
      <c r="L51" s="10">
        <f t="shared" si="18"/>
        <v>-1.3542759706190977</v>
      </c>
      <c r="M51" s="10">
        <f t="shared" si="19"/>
        <v>-4.7652137536773236E-3</v>
      </c>
      <c r="N51" s="10">
        <f t="shared" si="20"/>
        <v>0.99544808293963993</v>
      </c>
      <c r="O51" s="10">
        <f t="shared" si="7"/>
        <v>-0.36359310143313506</v>
      </c>
      <c r="P51" s="11">
        <f t="shared" si="8"/>
        <v>-2.7503272093403579</v>
      </c>
      <c r="Q51" s="10">
        <f t="shared" si="9"/>
        <v>0</v>
      </c>
      <c r="R51" s="12">
        <f t="shared" si="22"/>
        <v>-27.462500000000006</v>
      </c>
      <c r="S51" s="12">
        <f t="shared" si="23"/>
        <v>-0.25783805326220466</v>
      </c>
      <c r="T51" s="13">
        <f t="shared" si="24"/>
        <v>-27.07187723160132</v>
      </c>
      <c r="U51" s="14">
        <f t="shared" si="14"/>
        <v>2.3392962250854573E-2</v>
      </c>
    </row>
    <row r="52" spans="6:21">
      <c r="F52" s="8">
        <f t="shared" si="10"/>
        <v>345.61664677135428</v>
      </c>
      <c r="G52" s="8">
        <f t="shared" si="21"/>
        <v>408</v>
      </c>
      <c r="H52" s="18">
        <f t="shared" si="15"/>
        <v>0.32780991089573241</v>
      </c>
      <c r="I52" s="4">
        <v>44</v>
      </c>
      <c r="J52" s="8">
        <f t="shared" si="16"/>
        <v>14.772788524815512</v>
      </c>
      <c r="K52" s="9">
        <f t="shared" si="17"/>
        <v>-2.8820860398601238</v>
      </c>
      <c r="L52" s="10">
        <f t="shared" si="18"/>
        <v>-1.3378803777544597</v>
      </c>
      <c r="M52" s="10">
        <f t="shared" si="19"/>
        <v>-4.5386096514928014E-3</v>
      </c>
      <c r="N52" s="10">
        <f t="shared" si="20"/>
        <v>0.99544808293963993</v>
      </c>
      <c r="O52" s="10">
        <f t="shared" si="7"/>
        <v>-0.34697090446631251</v>
      </c>
      <c r="P52" s="11">
        <f t="shared" si="8"/>
        <v>-2.8820860398601238</v>
      </c>
      <c r="Q52" s="10">
        <f t="shared" si="9"/>
        <v>0</v>
      </c>
      <c r="R52" s="12">
        <f t="shared" si="22"/>
        <v>-26.212500000000006</v>
      </c>
      <c r="S52" s="12">
        <f t="shared" si="23"/>
        <v>-0.24056175651165665</v>
      </c>
      <c r="T52" s="13">
        <f t="shared" si="24"/>
        <v>-25.804200700474116</v>
      </c>
      <c r="U52" s="14">
        <f t="shared" si="14"/>
        <v>2.4528769562102704E-2</v>
      </c>
    </row>
    <row r="53" spans="6:21">
      <c r="F53" s="8">
        <f t="shared" si="10"/>
        <v>361.15232609383162</v>
      </c>
      <c r="G53" s="8">
        <f t="shared" si="21"/>
        <v>403</v>
      </c>
      <c r="H53" s="18">
        <f t="shared" si="15"/>
        <v>0.31217758324214478</v>
      </c>
      <c r="I53" s="4">
        <v>45</v>
      </c>
      <c r="J53" s="8">
        <f t="shared" si="16"/>
        <v>15.535679322477339</v>
      </c>
      <c r="K53" s="9">
        <f t="shared" si="17"/>
        <v>-3.0270293700660811</v>
      </c>
      <c r="L53" s="10">
        <f t="shared" si="18"/>
        <v>-1.3214847848898217</v>
      </c>
      <c r="M53" s="10">
        <f t="shared" si="19"/>
        <v>-4.3201851976194033E-3</v>
      </c>
      <c r="N53" s="10">
        <f t="shared" si="20"/>
        <v>0.99544808293963993</v>
      </c>
      <c r="O53" s="10">
        <f t="shared" si="7"/>
        <v>-0.33035688714780109</v>
      </c>
      <c r="P53" s="11">
        <f t="shared" si="8"/>
        <v>-3.027029370066082</v>
      </c>
      <c r="Q53" s="10">
        <f t="shared" si="9"/>
        <v>0</v>
      </c>
      <c r="R53" s="12">
        <f t="shared" si="22"/>
        <v>-24.962500000000006</v>
      </c>
      <c r="S53" s="12">
        <f t="shared" si="23"/>
        <v>-0.22390907614834865</v>
      </c>
      <c r="T53" s="13">
        <f t="shared" si="24"/>
        <v>-24.53706671509833</v>
      </c>
      <c r="U53" s="14">
        <f t="shared" si="14"/>
        <v>2.578145852736723E-2</v>
      </c>
    </row>
    <row r="54" spans="6:21">
      <c r="F54" s="8">
        <f t="shared" si="10"/>
        <v>377.53361776139485</v>
      </c>
      <c r="G54" s="8">
        <f t="shared" si="21"/>
        <v>398</v>
      </c>
      <c r="H54" s="18">
        <f t="shared" si="15"/>
        <v>0.29654525558855721</v>
      </c>
      <c r="I54" s="4">
        <v>46</v>
      </c>
      <c r="J54" s="8">
        <f t="shared" si="16"/>
        <v>16.381291667563222</v>
      </c>
      <c r="K54" s="9">
        <f t="shared" si="17"/>
        <v>-3.1872423589248537</v>
      </c>
      <c r="L54" s="10">
        <f t="shared" si="18"/>
        <v>-1.3050891920251837</v>
      </c>
      <c r="M54" s="10">
        <f t="shared" si="19"/>
        <v>-4.1097411439091711E-3</v>
      </c>
      <c r="N54" s="10">
        <f t="shared" si="20"/>
        <v>0.99544808293963993</v>
      </c>
      <c r="O54" s="10">
        <f t="shared" si="7"/>
        <v>-0.31375085022945304</v>
      </c>
      <c r="P54" s="11">
        <f t="shared" si="8"/>
        <v>-3.1872423589248524</v>
      </c>
      <c r="Q54" s="10">
        <f t="shared" si="9"/>
        <v>0</v>
      </c>
      <c r="R54" s="12">
        <f t="shared" si="22"/>
        <v>-23.712500000000006</v>
      </c>
      <c r="S54" s="12">
        <f t="shared" si="23"/>
        <v>-0.20786482149348065</v>
      </c>
      <c r="T54" s="13">
        <f t="shared" si="24"/>
        <v>-23.270448248889807</v>
      </c>
      <c r="U54" s="14">
        <f t="shared" si="14"/>
        <v>2.7170010886276328E-2</v>
      </c>
    </row>
    <row r="55" spans="6:21">
      <c r="F55" s="8">
        <f t="shared" si="10"/>
        <v>394.85749207123087</v>
      </c>
      <c r="G55" s="8">
        <f t="shared" si="21"/>
        <v>393</v>
      </c>
      <c r="H55" s="18">
        <f t="shared" si="15"/>
        <v>0.28091292793496958</v>
      </c>
      <c r="I55" s="4">
        <v>47</v>
      </c>
      <c r="J55" s="8">
        <f t="shared" si="16"/>
        <v>17.323874309836015</v>
      </c>
      <c r="K55" s="9">
        <f t="shared" si="17"/>
        <v>-3.3652743081004344</v>
      </c>
      <c r="L55" s="10">
        <f t="shared" si="18"/>
        <v>-1.2886935991605457</v>
      </c>
      <c r="M55" s="10">
        <f t="shared" si="19"/>
        <v>-3.9070806990347219E-3</v>
      </c>
      <c r="N55" s="10">
        <f t="shared" si="20"/>
        <v>0.99544808293963993</v>
      </c>
      <c r="O55" s="10">
        <f t="shared" si="7"/>
        <v>-0.29715259691994045</v>
      </c>
      <c r="P55" s="11">
        <f t="shared" si="8"/>
        <v>-3.3652743081004348</v>
      </c>
      <c r="Q55" s="10">
        <f t="shared" si="9"/>
        <v>0</v>
      </c>
      <c r="R55" s="12">
        <f t="shared" si="22"/>
        <v>-22.462500000000006</v>
      </c>
      <c r="S55" s="12">
        <f t="shared" si="23"/>
        <v>-0.19241398917625263</v>
      </c>
      <c r="T55" s="13">
        <f t="shared" si="24"/>
        <v>-22.004315731127488</v>
      </c>
      <c r="U55" s="14">
        <f t="shared" si="14"/>
        <v>2.8717754495100001E-2</v>
      </c>
    </row>
    <row r="56" spans="6:21">
      <c r="F56" s="8">
        <f t="shared" si="10"/>
        <v>413.23864288547634</v>
      </c>
      <c r="G56" s="8">
        <f t="shared" si="21"/>
        <v>388</v>
      </c>
      <c r="H56" s="18">
        <f t="shared" si="15"/>
        <v>0.26528060028138195</v>
      </c>
      <c r="I56" s="4">
        <v>48</v>
      </c>
      <c r="J56" s="8">
        <f t="shared" si="16"/>
        <v>18.38115081424548</v>
      </c>
      <c r="K56" s="9">
        <f t="shared" si="17"/>
        <v>-3.5642754158339711</v>
      </c>
      <c r="L56" s="10">
        <f t="shared" si="18"/>
        <v>-1.2722980062959077</v>
      </c>
      <c r="M56" s="10">
        <f t="shared" si="19"/>
        <v>-3.7120095284892333E-3</v>
      </c>
      <c r="N56" s="10">
        <f t="shared" si="20"/>
        <v>0.99544808293963993</v>
      </c>
      <c r="O56" s="10">
        <f t="shared" si="7"/>
        <v>-0.28056193288475706</v>
      </c>
      <c r="P56" s="11">
        <f t="shared" si="8"/>
        <v>-3.5642754158339707</v>
      </c>
      <c r="Q56" s="10">
        <f t="shared" si="9"/>
        <v>0</v>
      </c>
      <c r="R56" s="12">
        <f t="shared" si="22"/>
        <v>-21.212500000000006</v>
      </c>
      <c r="S56" s="12">
        <f t="shared" si="23"/>
        <v>-0.17754176313386463</v>
      </c>
      <c r="T56" s="13">
        <f t="shared" si="24"/>
        <v>-20.738636217737156</v>
      </c>
      <c r="U56" s="14">
        <f t="shared" si="14"/>
        <v>3.0453682728166644E-2</v>
      </c>
    </row>
    <row r="57" spans="6:21">
      <c r="F57" s="8">
        <f t="shared" si="10"/>
        <v>432.81409162094741</v>
      </c>
      <c r="G57" s="8">
        <f t="shared" si="21"/>
        <v>383</v>
      </c>
      <c r="H57" s="18">
        <f t="shared" si="15"/>
        <v>0.24964827262779432</v>
      </c>
      <c r="I57" s="4">
        <v>49</v>
      </c>
      <c r="J57" s="8">
        <f t="shared" si="16"/>
        <v>19.575448735471049</v>
      </c>
      <c r="K57" s="9">
        <f t="shared" si="17"/>
        <v>-3.7881849098642211</v>
      </c>
      <c r="L57" s="10">
        <f t="shared" si="18"/>
        <v>-1.2559024134312697</v>
      </c>
      <c r="M57" s="10">
        <f t="shared" si="19"/>
        <v>-3.5243357545864536E-3</v>
      </c>
      <c r="N57" s="10">
        <f t="shared" si="20"/>
        <v>0.99544808293963993</v>
      </c>
      <c r="O57" s="10">
        <f t="shared" si="7"/>
        <v>-0.26397866624621624</v>
      </c>
      <c r="P57" s="11">
        <f t="shared" si="8"/>
        <v>-3.7881849098642211</v>
      </c>
      <c r="Q57" s="10">
        <f t="shared" si="9"/>
        <v>0</v>
      </c>
      <c r="R57" s="12">
        <f t="shared" si="22"/>
        <v>-19.962500000000006</v>
      </c>
      <c r="S57" s="12">
        <f t="shared" si="23"/>
        <v>-0.16323351461151664</v>
      </c>
      <c r="T57" s="13">
        <f t="shared" si="24"/>
        <v>-19.473372240466631</v>
      </c>
      <c r="U57" s="14">
        <f t="shared" si="14"/>
        <v>3.2414285604610071E-2</v>
      </c>
    </row>
    <row r="58" spans="6:21">
      <c r="F58" s="8">
        <f t="shared" si="10"/>
        <v>453.74939189067186</v>
      </c>
      <c r="G58" s="8">
        <f t="shared" si="21"/>
        <v>378</v>
      </c>
      <c r="H58" s="18">
        <f t="shared" si="15"/>
        <v>0.23401594497420672</v>
      </c>
      <c r="I58" s="4">
        <v>50</v>
      </c>
      <c r="J58" s="8">
        <f t="shared" si="16"/>
        <v>20.935300269724451</v>
      </c>
      <c r="K58" s="9">
        <f t="shared" si="17"/>
        <v>-4.0419945843241987</v>
      </c>
      <c r="L58" s="10">
        <f t="shared" si="18"/>
        <v>-1.2395068205666318</v>
      </c>
      <c r="M58" s="10">
        <f t="shared" si="19"/>
        <v>-3.3438699564606916E-3</v>
      </c>
      <c r="N58" s="10">
        <f t="shared" si="20"/>
        <v>0.99544808293963993</v>
      </c>
      <c r="O58" s="10">
        <f t="shared" si="7"/>
        <v>-0.24740260758345256</v>
      </c>
      <c r="P58" s="11">
        <f t="shared" si="8"/>
        <v>-4.0419945843241978</v>
      </c>
      <c r="Q58" s="10">
        <f t="shared" si="9"/>
        <v>0</v>
      </c>
      <c r="R58" s="12">
        <f t="shared" si="22"/>
        <v>-18.712500000000006</v>
      </c>
      <c r="S58" s="12">
        <f t="shared" si="23"/>
        <v>-0.14947480216240863</v>
      </c>
      <c r="T58" s="13">
        <f t="shared" si="24"/>
        <v>-18.208480178871461</v>
      </c>
      <c r="U58" s="14">
        <f t="shared" si="14"/>
        <v>3.4646140191854885E-2</v>
      </c>
    </row>
    <row r="59" spans="6:21">
      <c r="F59" s="8">
        <f t="shared" si="10"/>
        <v>476.24715345131062</v>
      </c>
      <c r="G59" s="8">
        <f t="shared" si="21"/>
        <v>373</v>
      </c>
      <c r="H59" s="18">
        <f t="shared" si="15"/>
        <v>0.21838361732061909</v>
      </c>
      <c r="I59" s="4">
        <v>51</v>
      </c>
      <c r="J59" s="8">
        <f t="shared" si="16"/>
        <v>22.497761560638754</v>
      </c>
      <c r="K59" s="9">
        <f t="shared" si="17"/>
        <v>-4.3321255235655807</v>
      </c>
      <c r="L59" s="10">
        <f t="shared" si="18"/>
        <v>-1.2231112277019938</v>
      </c>
      <c r="M59" s="10">
        <f t="shared" si="19"/>
        <v>-3.170425170066831E-3</v>
      </c>
      <c r="N59" s="10">
        <f t="shared" si="20"/>
        <v>0.99544808293963993</v>
      </c>
      <c r="O59" s="10">
        <f t="shared" si="7"/>
        <v>-0.23083356993242066</v>
      </c>
      <c r="P59" s="11">
        <f t="shared" si="8"/>
        <v>-4.3321255235655807</v>
      </c>
      <c r="Q59" s="10">
        <f t="shared" si="9"/>
        <v>0</v>
      </c>
      <c r="R59" s="12">
        <f t="shared" si="22"/>
        <v>-17.462500000000006</v>
      </c>
      <c r="S59" s="12">
        <f t="shared" si="23"/>
        <v>-0.13625137164774065</v>
      </c>
      <c r="T59" s="13">
        <f t="shared" si="24"/>
        <v>-16.943907907128555</v>
      </c>
      <c r="U59" s="14">
        <f t="shared" si="14"/>
        <v>3.7209654860751659E-2</v>
      </c>
    </row>
    <row r="60" spans="6:21">
      <c r="F60" s="8">
        <f t="shared" si="10"/>
        <v>500.55901161758516</v>
      </c>
      <c r="G60" s="8">
        <f t="shared" si="21"/>
        <v>368</v>
      </c>
      <c r="H60" s="18">
        <f t="shared" si="15"/>
        <v>0.20275128966703149</v>
      </c>
      <c r="I60" s="4">
        <v>52</v>
      </c>
      <c r="J60" s="8">
        <f t="shared" si="16"/>
        <v>24.311858166274547</v>
      </c>
      <c r="K60" s="9">
        <f t="shared" si="17"/>
        <v>-4.6669791006899208</v>
      </c>
      <c r="L60" s="10">
        <f t="shared" si="18"/>
        <v>-1.2067156348373558</v>
      </c>
      <c r="M60" s="10">
        <f t="shared" si="19"/>
        <v>-3.0038168881803148E-3</v>
      </c>
      <c r="N60" s="10">
        <f t="shared" si="20"/>
        <v>0.99544808293963993</v>
      </c>
      <c r="O60" s="10">
        <f t="shared" si="7"/>
        <v>-0.21427136878589614</v>
      </c>
      <c r="P60" s="11">
        <f t="shared" si="8"/>
        <v>-4.6669791006899208</v>
      </c>
      <c r="Q60" s="10">
        <f t="shared" si="9"/>
        <v>0</v>
      </c>
      <c r="R60" s="12">
        <f t="shared" si="22"/>
        <v>-16.212500000000006</v>
      </c>
      <c r="S60" s="12">
        <f t="shared" si="23"/>
        <v>-0.12354915623671263</v>
      </c>
      <c r="T60" s="13">
        <f t="shared" si="24"/>
        <v>-15.679591308606824</v>
      </c>
      <c r="U60" s="14">
        <f t="shared" si="14"/>
        <v>4.0184615101949213E-2</v>
      </c>
    </row>
    <row r="61" spans="6:21">
      <c r="F61" s="8">
        <f t="shared" si="10"/>
        <v>527.00286368680077</v>
      </c>
      <c r="G61" s="8">
        <f t="shared" si="21"/>
        <v>363</v>
      </c>
      <c r="H61" s="18">
        <f t="shared" si="15"/>
        <v>0.18711896201344386</v>
      </c>
      <c r="I61" s="4">
        <v>53</v>
      </c>
      <c r="J61" s="8">
        <f t="shared" si="16"/>
        <v>26.443852069215556</v>
      </c>
      <c r="K61" s="9">
        <f t="shared" si="17"/>
        <v>-5.057764165819898</v>
      </c>
      <c r="L61" s="10">
        <f t="shared" si="18"/>
        <v>-1.1903200419727178</v>
      </c>
      <c r="M61" s="10">
        <f t="shared" si="19"/>
        <v>-2.8438630603971563E-3</v>
      </c>
      <c r="N61" s="10">
        <f t="shared" si="20"/>
        <v>0.99544808293963993</v>
      </c>
      <c r="O61" s="10">
        <f t="shared" si="7"/>
        <v>-0.19771582209347494</v>
      </c>
      <c r="P61" s="11">
        <f t="shared" si="8"/>
        <v>-5.0577641658198997</v>
      </c>
      <c r="Q61" s="10">
        <f t="shared" si="9"/>
        <v>0</v>
      </c>
      <c r="R61" s="12">
        <f t="shared" si="22"/>
        <v>-14.962500000000006</v>
      </c>
      <c r="S61" s="12">
        <f t="shared" si="23"/>
        <v>-0.11135427640652464</v>
      </c>
      <c r="T61" s="13">
        <f t="shared" si="24"/>
        <v>-14.415448967201371</v>
      </c>
      <c r="U61" s="14">
        <f t="shared" si="14"/>
        <v>4.3678630370978827E-2</v>
      </c>
    </row>
    <row r="62" spans="6:21">
      <c r="F62" s="8">
        <f t="shared" si="10"/>
        <v>555.98842864145297</v>
      </c>
      <c r="G62" s="8">
        <f t="shared" si="21"/>
        <v>358</v>
      </c>
      <c r="H62" s="18">
        <f t="shared" si="15"/>
        <v>0.17148663435985625</v>
      </c>
      <c r="I62" s="4">
        <v>54</v>
      </c>
      <c r="J62" s="8">
        <f t="shared" si="16"/>
        <v>28.985564954652187</v>
      </c>
      <c r="K62" s="9">
        <f t="shared" si="17"/>
        <v>-5.5197766618663247</v>
      </c>
      <c r="L62" s="10">
        <f t="shared" si="18"/>
        <v>-1.1739244491080798</v>
      </c>
      <c r="M62" s="10">
        <f t="shared" si="19"/>
        <v>-2.6903840931339347E-3</v>
      </c>
      <c r="N62" s="10">
        <f t="shared" si="20"/>
        <v>0.99544808293963993</v>
      </c>
      <c r="O62" s="10">
        <f t="shared" ref="O62:O72" si="25">SUM(L62:N62)</f>
        <v>-0.18116675026157369</v>
      </c>
      <c r="P62" s="11">
        <f t="shared" si="8"/>
        <v>-5.5197766618663282</v>
      </c>
      <c r="Q62" s="10">
        <f t="shared" si="9"/>
        <v>0</v>
      </c>
      <c r="R62" s="12">
        <f t="shared" si="22"/>
        <v>-13.712500000000006</v>
      </c>
      <c r="S62" s="12">
        <f t="shared" si="23"/>
        <v>-9.9653039942376648E-2</v>
      </c>
      <c r="T62" s="13">
        <f t="shared" si="24"/>
        <v>-13.15137381646298</v>
      </c>
      <c r="U62" s="14">
        <f t="shared" si="14"/>
        <v>4.7840421516366166E-2</v>
      </c>
    </row>
    <row r="63" spans="6:21">
      <c r="F63" s="8">
        <f t="shared" si="10"/>
        <v>588.05648291355874</v>
      </c>
      <c r="G63" s="8">
        <f t="shared" si="21"/>
        <v>353</v>
      </c>
      <c r="H63" s="18">
        <f t="shared" si="15"/>
        <v>0.15585430670626862</v>
      </c>
      <c r="I63" s="4">
        <v>55</v>
      </c>
      <c r="J63" s="8">
        <f t="shared" si="16"/>
        <v>32.06805427210579</v>
      </c>
      <c r="K63" s="9">
        <f t="shared" si="17"/>
        <v>-6.0744493199945504</v>
      </c>
      <c r="L63" s="10">
        <f t="shared" si="18"/>
        <v>-1.1575288562434418</v>
      </c>
      <c r="M63" s="10">
        <f t="shared" si="19"/>
        <v>-2.5432028496277957E-3</v>
      </c>
      <c r="N63" s="10">
        <f t="shared" si="20"/>
        <v>0.99544808293963993</v>
      </c>
      <c r="O63" s="10">
        <f t="shared" si="25"/>
        <v>-0.16462397615342961</v>
      </c>
      <c r="P63" s="11">
        <f t="shared" si="8"/>
        <v>-6.0744493199945531</v>
      </c>
      <c r="Q63" s="10">
        <f t="shared" si="9"/>
        <v>0</v>
      </c>
      <c r="R63" s="12">
        <f t="shared" si="22"/>
        <v>-12.462500000000006</v>
      </c>
      <c r="S63" s="12">
        <f t="shared" si="23"/>
        <v>-8.8431941937468644E-2</v>
      </c>
      <c r="T63" s="13">
        <f t="shared" si="24"/>
        <v>-11.887219497803608</v>
      </c>
      <c r="U63" s="14">
        <f t="shared" si="14"/>
        <v>5.2881526822414544E-2</v>
      </c>
    </row>
    <row r="64" spans="6:21">
      <c r="F64" s="8">
        <f t="shared" si="10"/>
        <v>623.94163780493477</v>
      </c>
      <c r="G64" s="8">
        <f t="shared" si="21"/>
        <v>348</v>
      </c>
      <c r="H64" s="18">
        <f t="shared" si="15"/>
        <v>0.140221979052681</v>
      </c>
      <c r="I64" s="4">
        <v>56</v>
      </c>
      <c r="J64" s="8">
        <f t="shared" si="16"/>
        <v>35.885154891376089</v>
      </c>
      <c r="K64" s="9">
        <f t="shared" si="17"/>
        <v>-6.7527723888477666</v>
      </c>
      <c r="L64" s="10">
        <f t="shared" si="18"/>
        <v>-1.1411332633788038</v>
      </c>
      <c r="M64" s="10">
        <f t="shared" si="19"/>
        <v>-2.4021446499364533E-3</v>
      </c>
      <c r="N64" s="10">
        <f t="shared" si="20"/>
        <v>0.99544808293963993</v>
      </c>
      <c r="O64" s="10">
        <f t="shared" si="25"/>
        <v>-0.14808732508910039</v>
      </c>
      <c r="P64" s="11">
        <f t="shared" si="8"/>
        <v>-6.7527723888477649</v>
      </c>
      <c r="Q64" s="10">
        <f t="shared" si="9"/>
        <v>0</v>
      </c>
      <c r="R64" s="12">
        <f t="shared" si="22"/>
        <v>-11.212500000000006</v>
      </c>
      <c r="S64" s="12">
        <f t="shared" si="23"/>
        <v>-7.7677664793000645E-2</v>
      </c>
      <c r="T64" s="13">
        <f t="shared" si="24"/>
        <v>-10.622777055132914</v>
      </c>
      <c r="U64" s="14">
        <f t="shared" si="14"/>
        <v>5.9113384171207199E-2</v>
      </c>
    </row>
    <row r="65" spans="6:21">
      <c r="F65" s="8">
        <f t="shared" si="10"/>
        <v>664.67800030314481</v>
      </c>
      <c r="G65" s="8">
        <f t="shared" si="21"/>
        <v>343</v>
      </c>
      <c r="H65" s="18">
        <f t="shared" si="15"/>
        <v>0.12458965139909339</v>
      </c>
      <c r="I65" s="4">
        <v>57</v>
      </c>
      <c r="J65" s="8">
        <f t="shared" si="16"/>
        <v>40.736362498210063</v>
      </c>
      <c r="K65" s="9">
        <f t="shared" si="17"/>
        <v>-7.6012895677026693</v>
      </c>
      <c r="L65" s="10">
        <f t="shared" si="18"/>
        <v>-1.1247376705141658</v>
      </c>
      <c r="M65" s="10">
        <f t="shared" si="19"/>
        <v>-2.267037270938185E-3</v>
      </c>
      <c r="N65" s="10">
        <f t="shared" si="20"/>
        <v>0.99544808293963993</v>
      </c>
      <c r="O65" s="10">
        <f t="shared" si="25"/>
        <v>-0.13155662484546404</v>
      </c>
      <c r="P65" s="11">
        <f t="shared" si="8"/>
        <v>-7.6012895677026719</v>
      </c>
      <c r="Q65" s="10">
        <f t="shared" si="9"/>
        <v>0</v>
      </c>
      <c r="R65" s="12">
        <f t="shared" si="22"/>
        <v>-9.9625000000000057</v>
      </c>
      <c r="S65" s="12">
        <f t="shared" si="23"/>
        <v>-6.737707821817264E-2</v>
      </c>
      <c r="T65" s="13">
        <f t="shared" si="24"/>
        <v>-9.3577329104126559</v>
      </c>
      <c r="U65" s="14">
        <f t="shared" si="14"/>
        <v>6.7014197937202355E-2</v>
      </c>
    </row>
    <row r="66" spans="6:21">
      <c r="F66" s="8">
        <f t="shared" si="10"/>
        <v>711.78865475444366</v>
      </c>
      <c r="G66" s="8">
        <f t="shared" si="21"/>
        <v>338</v>
      </c>
      <c r="H66" s="18">
        <f t="shared" si="15"/>
        <v>0.10895732374550576</v>
      </c>
      <c r="I66" s="4">
        <v>58</v>
      </c>
      <c r="J66" s="8">
        <f t="shared" si="16"/>
        <v>47.110654451298799</v>
      </c>
      <c r="K66" s="9">
        <f t="shared" si="17"/>
        <v>-8.6932554315813544</v>
      </c>
      <c r="L66" s="10">
        <f t="shared" si="18"/>
        <v>-1.1083420776495279</v>
      </c>
      <c r="M66" s="10">
        <f t="shared" si="19"/>
        <v>-2.1377109463318355E-3</v>
      </c>
      <c r="N66" s="10">
        <f t="shared" si="20"/>
        <v>0.99544808293963993</v>
      </c>
      <c r="O66" s="10">
        <f t="shared" si="25"/>
        <v>-0.11503170565621978</v>
      </c>
      <c r="P66" s="11">
        <f t="shared" si="8"/>
        <v>-8.6932554315813526</v>
      </c>
      <c r="Q66" s="10">
        <f t="shared" si="9"/>
        <v>0</v>
      </c>
      <c r="R66" s="12">
        <f t="shared" si="22"/>
        <v>-8.7125000000000057</v>
      </c>
      <c r="S66" s="12">
        <f t="shared" si="23"/>
        <v>-5.751723923018464E-2</v>
      </c>
      <c r="T66" s="13">
        <f t="shared" si="24"/>
        <v>-8.0915878677522866</v>
      </c>
      <c r="U66" s="14">
        <f t="shared" si="14"/>
        <v>7.7357815038622976E-2</v>
      </c>
    </row>
    <row r="67" spans="6:21">
      <c r="F67" s="8">
        <f t="shared" si="10"/>
        <v>767.65451698537788</v>
      </c>
      <c r="G67" s="8">
        <f t="shared" si="21"/>
        <v>333</v>
      </c>
      <c r="H67" s="18">
        <f t="shared" si="15"/>
        <v>9.3324996091918147E-2</v>
      </c>
      <c r="I67" s="4">
        <v>59</v>
      </c>
      <c r="J67" s="8">
        <f t="shared" si="16"/>
        <v>55.865862230934184</v>
      </c>
      <c r="K67" s="9">
        <f t="shared" si="17"/>
        <v>-10.151006348938166</v>
      </c>
      <c r="L67" s="10">
        <f t="shared" si="18"/>
        <v>-1.0919464847848899</v>
      </c>
      <c r="M67" s="10">
        <f t="shared" si="19"/>
        <v>-2.0139983666368206E-3</v>
      </c>
      <c r="N67" s="10">
        <f t="shared" si="20"/>
        <v>0.99544808293963993</v>
      </c>
      <c r="O67" s="10">
        <f t="shared" si="25"/>
        <v>-9.8512400211886675E-2</v>
      </c>
      <c r="P67" s="11">
        <f t="shared" si="8"/>
        <v>-10.151006348938175</v>
      </c>
      <c r="Q67" s="10">
        <f t="shared" si="9"/>
        <v>0</v>
      </c>
      <c r="R67" s="12">
        <f t="shared" si="22"/>
        <v>-7.4625000000000057</v>
      </c>
      <c r="S67" s="12">
        <f t="shared" si="23"/>
        <v>-4.8085392154236642E-2</v>
      </c>
      <c r="T67" s="13">
        <f t="shared" si="24"/>
        <v>-6.8234872742896773</v>
      </c>
      <c r="U67" s="14">
        <f t="shared" si="14"/>
        <v>9.1483963231724391E-2</v>
      </c>
    </row>
    <row r="68" spans="6:21">
      <c r="F68" s="8">
        <f t="shared" si="10"/>
        <v>836.31664571730607</v>
      </c>
      <c r="G68" s="8">
        <f t="shared" si="21"/>
        <v>328</v>
      </c>
      <c r="H68" s="18">
        <f t="shared" si="15"/>
        <v>7.7692668438330531E-2</v>
      </c>
      <c r="I68" s="4">
        <v>60</v>
      </c>
      <c r="J68" s="8">
        <f t="shared" si="16"/>
        <v>68.662128731928163</v>
      </c>
      <c r="K68" s="9">
        <f t="shared" si="17"/>
        <v>-12.195338543435508</v>
      </c>
      <c r="L68" s="10">
        <f t="shared" si="18"/>
        <v>-1.0755508919202519</v>
      </c>
      <c r="M68" s="10">
        <f t="shared" si="19"/>
        <v>-1.8957346791931159E-3</v>
      </c>
      <c r="N68" s="10">
        <f t="shared" si="20"/>
        <v>0.99544808293963993</v>
      </c>
      <c r="O68" s="10">
        <f t="shared" si="25"/>
        <v>-8.1998543659804968E-2</v>
      </c>
      <c r="P68" s="11">
        <f t="shared" si="8"/>
        <v>-12.195338543435522</v>
      </c>
      <c r="Q68" s="15">
        <f t="shared" si="9"/>
        <v>-1.4210854715202004E-14</v>
      </c>
      <c r="R68" s="12">
        <f t="shared" si="22"/>
        <v>-6.2125000000000057</v>
      </c>
      <c r="S68" s="12">
        <f t="shared" si="23"/>
        <v>-3.9068968623528641E-2</v>
      </c>
      <c r="T68" s="13">
        <f t="shared" si="24"/>
        <v>-5.5518232108457815</v>
      </c>
      <c r="U68" s="14">
        <f t="shared" si="14"/>
        <v>0.11193122259224185</v>
      </c>
    </row>
    <row r="69" spans="6:21">
      <c r="F69" s="8">
        <f t="shared" si="10"/>
        <v>925.52486540632344</v>
      </c>
      <c r="G69" s="8">
        <f t="shared" si="21"/>
        <v>323</v>
      </c>
      <c r="H69" s="18">
        <f t="shared" si="15"/>
        <v>6.2060340784742915E-2</v>
      </c>
      <c r="I69" s="4">
        <v>61</v>
      </c>
      <c r="J69" s="8">
        <f t="shared" si="16"/>
        <v>89.208219689017341</v>
      </c>
      <c r="K69" s="9">
        <f t="shared" si="17"/>
        <v>-15.269512949335759</v>
      </c>
      <c r="L69" s="10">
        <f t="shared" si="18"/>
        <v>-1.0591552990556139</v>
      </c>
      <c r="M69" s="10">
        <f t="shared" si="19"/>
        <v>-1.7827574881612697E-3</v>
      </c>
      <c r="N69" s="10">
        <f t="shared" si="20"/>
        <v>0.99544808293963993</v>
      </c>
      <c r="O69" s="10">
        <f t="shared" si="25"/>
        <v>-6.5489973604135221E-2</v>
      </c>
      <c r="P69" s="11">
        <f t="shared" si="8"/>
        <v>-15.269512949335763</v>
      </c>
      <c r="Q69" s="15">
        <f t="shared" si="9"/>
        <v>0</v>
      </c>
      <c r="R69" s="12">
        <f t="shared" si="22"/>
        <v>-4.9625000000000057</v>
      </c>
      <c r="S69" s="12">
        <f t="shared" si="23"/>
        <v>-3.0455587579260639E-2</v>
      </c>
      <c r="T69" s="13">
        <f t="shared" si="24"/>
        <v>-4.2731488345902999</v>
      </c>
      <c r="U69" s="14">
        <f t="shared" si="14"/>
        <v>0.14416446138227121</v>
      </c>
    </row>
    <row r="70" spans="6:21">
      <c r="F70" s="8">
        <f t="shared" si="10"/>
        <v>1053.5106606121381</v>
      </c>
      <c r="G70" s="8">
        <f t="shared" si="21"/>
        <v>318</v>
      </c>
      <c r="H70" s="18">
        <f t="shared" si="15"/>
        <v>4.6428013131155299E-2</v>
      </c>
      <c r="I70" s="4">
        <v>62</v>
      </c>
      <c r="J70" s="8">
        <f t="shared" si="16"/>
        <v>127.98579520581472</v>
      </c>
      <c r="K70" s="9">
        <f t="shared" si="17"/>
        <v>-20.413774926271181</v>
      </c>
      <c r="L70" s="10">
        <f t="shared" si="18"/>
        <v>-1.0427597061909759</v>
      </c>
      <c r="M70" s="10">
        <f t="shared" si="19"/>
        <v>-1.6749068545223926E-3</v>
      </c>
      <c r="N70" s="10">
        <f t="shared" si="20"/>
        <v>0.99544808293963993</v>
      </c>
      <c r="O70" s="10">
        <f t="shared" si="25"/>
        <v>-4.8986530105858295E-2</v>
      </c>
      <c r="P70" s="11">
        <f t="shared" si="8"/>
        <v>-20.413774926271213</v>
      </c>
      <c r="Q70" s="15">
        <f t="shared" si="9"/>
        <v>-3.1974423109204508E-14</v>
      </c>
      <c r="R70" s="12">
        <f t="shared" si="22"/>
        <v>-3.7125000000000057</v>
      </c>
      <c r="S70" s="12">
        <f t="shared" si="23"/>
        <v>-2.2233055270632636E-2</v>
      </c>
      <c r="T70" s="13">
        <f t="shared" si="24"/>
        <v>-2.9784555339675807</v>
      </c>
      <c r="U70" s="14">
        <f t="shared" si="14"/>
        <v>0.20249841424027926</v>
      </c>
    </row>
    <row r="71" spans="6:21">
      <c r="F71" s="8">
        <f t="shared" si="10"/>
        <v>1286.7667709872539</v>
      </c>
      <c r="G71" s="8">
        <f t="shared" si="21"/>
        <v>313</v>
      </c>
      <c r="H71" s="18">
        <f t="shared" si="15"/>
        <v>3.079568547756768E-2</v>
      </c>
      <c r="I71" s="4">
        <v>63</v>
      </c>
      <c r="J71" s="8">
        <f t="shared" si="16"/>
        <v>233.25611037511578</v>
      </c>
      <c r="K71" s="9">
        <f t="shared" si="17"/>
        <v>-30.780543156054712</v>
      </c>
      <c r="L71" s="10">
        <f t="shared" si="18"/>
        <v>-1.0263641133263379</v>
      </c>
      <c r="M71" s="10">
        <f t="shared" si="19"/>
        <v>-1.5720252960781634E-3</v>
      </c>
      <c r="N71" s="10">
        <f t="shared" si="20"/>
        <v>0.99544808293963993</v>
      </c>
      <c r="O71" s="10">
        <f t="shared" si="25"/>
        <v>-3.248805568277624E-2</v>
      </c>
      <c r="P71" s="11">
        <f t="shared" si="8"/>
        <v>-30.780543156054634</v>
      </c>
      <c r="Q71" s="15">
        <f t="shared" si="9"/>
        <v>7.815970093361102E-14</v>
      </c>
      <c r="R71" s="12">
        <f t="shared" si="22"/>
        <v>-2.4625000000000057</v>
      </c>
      <c r="S71" s="12">
        <f t="shared" si="23"/>
        <v>-1.4389365254844636E-2</v>
      </c>
      <c r="T71" s="13">
        <f t="shared" si="24"/>
        <v>-1.6342551515026333</v>
      </c>
      <c r="U71" s="14">
        <f t="shared" si="14"/>
        <v>0.34019856743400295</v>
      </c>
    </row>
    <row r="72" spans="6:21">
      <c r="F72" s="8"/>
      <c r="G72" s="8">
        <f t="shared" si="21"/>
        <v>308</v>
      </c>
      <c r="H72" s="18">
        <f t="shared" si="15"/>
        <v>1.516335782398006E-2</v>
      </c>
      <c r="I72" s="4">
        <v>64</v>
      </c>
      <c r="J72" s="8"/>
      <c r="K72" s="9">
        <f t="shared" si="17"/>
        <v>-62.521900993991608</v>
      </c>
      <c r="L72" s="10">
        <f t="shared" si="18"/>
        <v>-1.0099685204616999</v>
      </c>
      <c r="M72" s="10">
        <f t="shared" si="19"/>
        <v>-1.4739577874508286E-3</v>
      </c>
      <c r="N72" s="10">
        <f t="shared" si="20"/>
        <v>0.99544808293963993</v>
      </c>
      <c r="O72" s="10">
        <f t="shared" si="25"/>
        <v>-1.5994395309510745E-2</v>
      </c>
      <c r="P72" s="11">
        <f t="shared" si="8"/>
        <v>-62.521900993991949</v>
      </c>
      <c r="Q72" s="15">
        <f t="shared" si="9"/>
        <v>-3.4106051316484809E-13</v>
      </c>
      <c r="R72" s="12">
        <f t="shared" si="22"/>
        <v>-1.2125000000000057</v>
      </c>
      <c r="S72" s="12">
        <f t="shared" si="23"/>
        <v>-6.9126983970966352E-3</v>
      </c>
      <c r="T72" s="13"/>
      <c r="U72" s="13"/>
    </row>
    <row r="73" spans="6:21">
      <c r="F73" s="8"/>
      <c r="G73" s="8"/>
      <c r="H73" s="8"/>
      <c r="J73" s="8"/>
      <c r="K73" s="9"/>
      <c r="L73" s="10"/>
      <c r="M73" s="10"/>
      <c r="N73" s="10"/>
      <c r="O73" s="10"/>
      <c r="P73" s="15"/>
      <c r="Q73" s="15"/>
      <c r="R73" s="12"/>
      <c r="S73" s="12"/>
      <c r="T73" s="13"/>
      <c r="U73" s="13"/>
    </row>
    <row r="74" spans="6:21">
      <c r="F74" s="8"/>
      <c r="G74" s="8"/>
      <c r="H74" s="8"/>
      <c r="J74" s="8"/>
      <c r="K74" s="9"/>
      <c r="L74" s="10"/>
      <c r="M74" s="10"/>
      <c r="N74" s="10"/>
      <c r="O74" s="10"/>
      <c r="P74" s="11"/>
      <c r="Q74" s="15"/>
      <c r="R74" s="12"/>
      <c r="S74" s="16"/>
      <c r="T74" s="13"/>
      <c r="U74" s="13"/>
    </row>
    <row r="75" spans="6:21">
      <c r="F75" s="8"/>
      <c r="G75" s="8"/>
      <c r="H75" s="8"/>
      <c r="J75" s="8"/>
      <c r="K75" s="9"/>
      <c r="L75" s="10"/>
      <c r="M75" s="10"/>
      <c r="N75" s="10"/>
      <c r="O75" s="10"/>
      <c r="P75" s="11"/>
      <c r="Q75" s="15"/>
      <c r="R75" s="12"/>
      <c r="S75" s="16"/>
      <c r="T75" s="13"/>
      <c r="U75" s="13"/>
    </row>
    <row r="76" spans="6:21">
      <c r="G76" s="17"/>
      <c r="H76" s="17"/>
    </row>
    <row r="77" spans="6:21">
      <c r="G77" s="17"/>
      <c r="H77" s="17"/>
    </row>
    <row r="78" spans="6:21">
      <c r="G78" s="17"/>
      <c r="H78" s="17"/>
    </row>
    <row r="79" spans="6:21">
      <c r="G79" s="17"/>
      <c r="H79" s="17"/>
    </row>
    <row r="80" spans="6:21">
      <c r="G80" s="17"/>
      <c r="H80" s="17"/>
    </row>
    <row r="81" spans="7:8">
      <c r="G81" s="17"/>
      <c r="H81" s="17"/>
    </row>
    <row r="82" spans="7:8">
      <c r="G82" s="17"/>
      <c r="H82" s="17"/>
    </row>
    <row r="83" spans="7:8">
      <c r="G83" s="17"/>
      <c r="H83" s="17"/>
    </row>
    <row r="84" spans="7:8">
      <c r="G84" s="17"/>
      <c r="H84" s="17"/>
    </row>
    <row r="85" spans="7:8">
      <c r="G85" s="17"/>
      <c r="H85" s="1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Data</vt:lpstr>
      <vt:lpstr>newalpha</vt:lpstr>
      <vt:lpstr>newbeta</vt:lpstr>
      <vt:lpstr>Data!phi0</vt:lpstr>
      <vt:lpstr>Data!T0</vt:lpstr>
      <vt:lpstr>Data!Tinterval</vt:lpstr>
      <vt:lpstr>Tinterval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Faith Morrison</dc:creator>
  <cp:lastModifiedBy>Faith Morrison</cp:lastModifiedBy>
  <dcterms:created xsi:type="dcterms:W3CDTF">2021-01-03T15:35:02Z</dcterms:created>
  <dcterms:modified xsi:type="dcterms:W3CDTF">2021-02-01T15:25:59Z</dcterms:modified>
</cp:coreProperties>
</file>