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<sst xmlns="http://schemas.openxmlformats.org/spreadsheetml/2006/main" count="83" uniqueCount="56">
  <si>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Amps</t>
  </si>
  <si>
    <t>Bank Specification:</t>
  </si>
  <si>
    <t>Blown Fuses</t>
  </si>
  <si>
    <t>Bruce Mork</t>
  </si>
  <si>
    <t>Calc</t>
  </si>
  <si>
    <t>Can Specs:</t>
  </si>
  <si>
    <t>Cans</t>
  </si>
  <si>
    <t>Cans/Ph</t>
  </si>
  <si>
    <t>Capacitance:</t>
  </si>
  <si>
    <t>Capacitor Bank Design and Protection</t>
  </si>
  <si>
    <t>Chosen</t>
  </si>
  <si>
    <t>Configuration:</t>
  </si>
  <si>
    <t>Current:</t>
  </si>
  <si>
    <t>Discharge RC Time Constant:</t>
  </si>
  <si>
    <t>Dischg Time to 50V:</t>
  </si>
  <si>
    <t>Diss Ohms/Phase:</t>
  </si>
  <si>
    <t>Diss Ohms:</t>
  </si>
  <si>
    <t>Grounded-Wye Bank</t>
  </si>
  <si>
    <t>Group Voltages:</t>
  </si>
  <si>
    <t>Impedance/Group:</t>
  </si>
  <si>
    <t>Impedance/Phase:</t>
  </si>
  <si>
    <t>Impedance:</t>
  </si>
  <si>
    <t>kV</t>
  </si>
  <si>
    <t>kVAR</t>
  </si>
  <si>
    <t>kW</t>
  </si>
  <si>
    <t>Line Current, Amps:</t>
  </si>
  <si>
    <t>L-L System Voltage:</t>
  </si>
  <si>
    <t>Loss:</t>
  </si>
  <si>
    <t>Losses, kW:</t>
  </si>
  <si>
    <t>MOhms</t>
  </si>
  <si>
    <t>MVAR</t>
  </si>
  <si>
    <t>No. Cans/Phase:</t>
  </si>
  <si>
    <t>Ohms</t>
  </si>
  <si>
    <t>Other Groups:</t>
  </si>
  <si>
    <t>Parallel Cans/Group:</t>
  </si>
  <si>
    <t>Per Unit</t>
  </si>
  <si>
    <t>Performance:</t>
  </si>
  <si>
    <t>Rating:</t>
  </si>
  <si>
    <t>Seconds</t>
  </si>
  <si>
    <t>Secs</t>
  </si>
  <si>
    <t>Series Groups/Phase:</t>
  </si>
  <si>
    <t>Size of Bank:</t>
  </si>
  <si>
    <t>System Voltage, pu:</t>
  </si>
  <si>
    <t>This Group:</t>
  </si>
  <si>
    <t>Total MVAR</t>
  </si>
  <si>
    <t>Total No. Cans:</t>
  </si>
  <si>
    <t>uFarads</t>
  </si>
  <si>
    <t>V</t>
  </si>
  <si>
    <t>Voltage/Group, kV:</t>
  </si>
  <si>
    <t>Voltage/Group, pu:</t>
  </si>
  <si>
    <t>Voltage:</t>
  </si>
  <si>
    <t>VT Ratio:</t>
  </si>
  <si>
    <t>VT Sec Volts</t>
  </si>
  <si>
    <t>W/kVAR</t>
  </si>
  <si>
    <t xml:space="preserve">Externally Fused Configuration Only! </t>
  </si>
  <si>
    <t>Michigan Tech University - Teaching Example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</si>
</sst>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16">
    <xf numFmtId="0" fontId="0" fillId="0" borderId="0" xfId="0" applyAlignment="1">
      <alignment/>
    </xf>
    <xf numFmtId="0" fontId="3" fillId="0" borderId="0" xfId="0" applyAlignment="1">
      <alignment/>
    </xf>
    <xf numFmtId="2" fontId="0" fillId="0" borderId="0" xfId="20">
      <alignment/>
      <protection/>
    </xf>
    <xf numFmtId="2" fontId="3" fillId="0" borderId="0" xfId="20">
      <alignment/>
      <protection/>
    </xf>
    <xf numFmtId="164" fontId="0" fillId="0" borderId="0" xfId="0" applyAlignment="1">
      <alignment/>
    </xf>
    <xf numFmtId="2" fontId="0" fillId="2" borderId="2" xfId="20">
      <alignment/>
      <protection/>
    </xf>
    <xf numFmtId="0" fontId="0" fillId="3" borderId="0" xfId="0" applyAlignment="1">
      <alignment/>
    </xf>
    <xf numFmtId="0" fontId="0" fillId="0" borderId="2" xfId="0" applyAlignment="1">
      <alignment/>
    </xf>
    <xf numFmtId="0" fontId="0" fillId="0" borderId="0" xfId="0" applyAlignment="1">
      <alignment horizontal="center"/>
    </xf>
    <xf numFmtId="164" fontId="0" fillId="2" borderId="2" xfId="0" applyAlignment="1">
      <alignment/>
    </xf>
    <xf numFmtId="0" fontId="0" fillId="2" borderId="2" xfId="0" applyAlignment="1">
      <alignment/>
    </xf>
    <xf numFmtId="2" fontId="0" fillId="0" borderId="2" xfId="20">
      <alignment/>
      <protection/>
    </xf>
    <xf numFmtId="164" fontId="0" fillId="0" borderId="2" xfId="0" applyAlignment="1">
      <alignment/>
    </xf>
    <xf numFmtId="0" fontId="0" fillId="4" borderId="2" xfId="0" applyFill="1" applyAlignment="1">
      <alignment/>
    </xf>
    <xf numFmtId="15" fontId="0" fillId="0" borderId="0" xfId="0" applyNumberFormat="1" applyAlignment="1">
      <alignment/>
    </xf>
    <xf numFmtId="0" fontId="5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1">
      <selection activeCell="A11" sqref="A11"/>
    </sheetView>
  </sheetViews>
  <sheetFormatPr defaultColWidth="9.140625" defaultRowHeight="12.75"/>
  <sheetData>
    <row r="1" spans="1:9" ht="12.75">
      <c r="A1" s="1" t="s">
        <v>9</v>
      </c>
      <c r="G1" t="s">
        <v>3</v>
      </c>
      <c r="I1" s="14">
        <v>39183</v>
      </c>
    </row>
    <row r="2" spans="2:7" ht="12.75">
      <c r="B2" s="15" t="s">
        <v>54</v>
      </c>
      <c r="G2" t="s">
        <v>55</v>
      </c>
    </row>
    <row r="4" spans="1:6" ht="12.75">
      <c r="A4" s="1" t="s">
        <v>1</v>
      </c>
      <c r="F4" s="1" t="s">
        <v>5</v>
      </c>
    </row>
    <row r="5" spans="7:10" ht="12.75">
      <c r="G5" t="s">
        <v>50</v>
      </c>
      <c r="I5" s="13">
        <v>13.28</v>
      </c>
      <c r="J5" t="s">
        <v>22</v>
      </c>
    </row>
    <row r="6" spans="1:10" ht="12.75">
      <c r="A6" t="s">
        <v>17</v>
      </c>
      <c r="G6" t="s">
        <v>37</v>
      </c>
      <c r="I6" s="13">
        <v>200</v>
      </c>
      <c r="J6" t="s">
        <v>23</v>
      </c>
    </row>
    <row r="7" spans="7:10" ht="12.75">
      <c r="G7" t="s">
        <v>27</v>
      </c>
      <c r="I7" s="13">
        <v>0.1</v>
      </c>
      <c r="J7" t="s">
        <v>53</v>
      </c>
    </row>
    <row r="8" spans="1:10" ht="12.75">
      <c r="A8" t="s">
        <v>26</v>
      </c>
      <c r="C8" s="13">
        <v>138</v>
      </c>
      <c r="D8" t="s">
        <v>22</v>
      </c>
      <c r="G8" t="s">
        <v>8</v>
      </c>
      <c r="I8" s="9">
        <f>(1/I9/(2*PI()*60))*10^6</f>
        <v>3.008172431667471</v>
      </c>
      <c r="J8" t="s">
        <v>46</v>
      </c>
    </row>
    <row r="9" spans="1:10" ht="12.75">
      <c r="A9" t="s">
        <v>41</v>
      </c>
      <c r="C9" s="13">
        <v>80</v>
      </c>
      <c r="D9" t="s">
        <v>30</v>
      </c>
      <c r="G9" t="s">
        <v>21</v>
      </c>
      <c r="I9" s="5">
        <f>(I5^2/I6*1000)</f>
        <v>881.7919999999999</v>
      </c>
      <c r="J9" t="s">
        <v>32</v>
      </c>
    </row>
    <row r="10" spans="7:10" ht="12.75">
      <c r="G10" t="s">
        <v>12</v>
      </c>
      <c r="I10" s="5">
        <f>(I6/I5)</f>
        <v>15.060240963855422</v>
      </c>
      <c r="J10" t="s">
        <v>0</v>
      </c>
    </row>
    <row r="11" spans="7:10" ht="12.75">
      <c r="G11" t="s">
        <v>16</v>
      </c>
      <c r="I11" s="9">
        <f>(I5*1000)^2/(I6*I7)/10^6</f>
        <v>8.81792</v>
      </c>
      <c r="J11" t="s">
        <v>29</v>
      </c>
    </row>
    <row r="13" ht="12.75">
      <c r="A13" s="1" t="s">
        <v>11</v>
      </c>
    </row>
    <row r="14" spans="5:6" ht="12.75">
      <c r="E14" s="8" t="s">
        <v>4</v>
      </c>
      <c r="F14" t="s">
        <v>10</v>
      </c>
    </row>
    <row r="15" spans="2:7" ht="12.75">
      <c r="B15" t="s">
        <v>45</v>
      </c>
      <c r="E15" s="2">
        <f>(C9*1000/I6)</f>
        <v>400</v>
      </c>
      <c r="F15" s="10">
        <f>(F16*3)</f>
        <v>414</v>
      </c>
      <c r="G15" t="s">
        <v>6</v>
      </c>
    </row>
    <row r="16" spans="2:7" ht="12.75">
      <c r="B16" t="s">
        <v>31</v>
      </c>
      <c r="E16" s="2">
        <f>(E15/3)</f>
        <v>133.33333333333334</v>
      </c>
      <c r="F16" s="10">
        <f>(F17*F18)</f>
        <v>138</v>
      </c>
      <c r="G16" t="s">
        <v>7</v>
      </c>
    </row>
    <row r="17" spans="2:6" ht="12.75">
      <c r="B17" t="s">
        <v>40</v>
      </c>
      <c r="E17" s="2">
        <f>(C8/SQRT(3)/I5)</f>
        <v>5.999573580434365</v>
      </c>
      <c r="F17" s="13">
        <v>6</v>
      </c>
    </row>
    <row r="18" spans="2:6" ht="12.75">
      <c r="B18" t="s">
        <v>34</v>
      </c>
      <c r="E18" s="2">
        <f>(E16/E17)</f>
        <v>22.223801666197765</v>
      </c>
      <c r="F18" s="13">
        <v>23</v>
      </c>
    </row>
    <row r="19" spans="2:7" ht="12.75">
      <c r="B19" t="s">
        <v>19</v>
      </c>
      <c r="F19" s="5">
        <f>(I9/F18)</f>
        <v>38.338782608695645</v>
      </c>
      <c r="G19" t="s">
        <v>32</v>
      </c>
    </row>
    <row r="20" spans="2:7" ht="12.75">
      <c r="B20" t="s">
        <v>20</v>
      </c>
      <c r="F20" s="5">
        <f>(F19*F17)</f>
        <v>230.03269565217386</v>
      </c>
      <c r="G20" t="s">
        <v>32</v>
      </c>
    </row>
    <row r="21" spans="2:7" ht="12.75">
      <c r="B21" t="s">
        <v>15</v>
      </c>
      <c r="F21" s="9">
        <f>(I11/F18*F17)</f>
        <v>2.3003269565217392</v>
      </c>
      <c r="G21" t="s">
        <v>29</v>
      </c>
    </row>
    <row r="22" spans="2:7" ht="12.75">
      <c r="B22" t="s">
        <v>13</v>
      </c>
      <c r="F22" s="5">
        <f>(I8*I11)</f>
        <v>26.52582384864923</v>
      </c>
      <c r="G22" t="s">
        <v>39</v>
      </c>
    </row>
    <row r="24" ht="12.75">
      <c r="A24" s="1" t="s">
        <v>36</v>
      </c>
    </row>
    <row r="25" spans="2:6" ht="12.75">
      <c r="B25" t="s">
        <v>42</v>
      </c>
      <c r="D25" s="1">
        <v>0.95</v>
      </c>
      <c r="E25" s="3">
        <v>1</v>
      </c>
      <c r="F25" s="1">
        <v>1.05</v>
      </c>
    </row>
    <row r="26" spans="2:6" ht="12.75">
      <c r="B26" t="s">
        <v>44</v>
      </c>
      <c r="D26" s="11">
        <f>(D25*C8*SQRT(3)*D27)/1000</f>
        <v>74.71637869248077</v>
      </c>
      <c r="E26" s="11">
        <f>(E25*C8*SQRT(3)*E27)/1000</f>
        <v>82.78823123820585</v>
      </c>
      <c r="F26" s="11">
        <f>(F25*C8*SQRT(3)*F27)/1000</f>
        <v>91.27402494012196</v>
      </c>
    </row>
    <row r="27" spans="2:6" ht="12.75">
      <c r="B27" t="s">
        <v>25</v>
      </c>
      <c r="D27" s="11">
        <f>(D25*C8/SQRT(3))/F20*1000</f>
        <v>329.04287834460564</v>
      </c>
      <c r="E27" s="11">
        <f>(E25*C8/SQRT(3))/F20*1000</f>
        <v>346.36092457326913</v>
      </c>
      <c r="F27" s="11">
        <f>(F25*C8/SQRT(3))/F20*1000</f>
        <v>363.6789708019326</v>
      </c>
    </row>
    <row r="28" spans="2:6" ht="12.75">
      <c r="B28" t="s">
        <v>48</v>
      </c>
      <c r="D28" s="12">
        <f>(D25*C8/SQRT(3)/F17)</f>
        <v>12.615103381793324</v>
      </c>
      <c r="E28" s="12">
        <f>(E25*C8/SQRT(3)/F17)</f>
        <v>13.279056191361393</v>
      </c>
      <c r="F28" s="12">
        <f>(F25*C8/SQRT(3)/F17)</f>
        <v>13.943009000929464</v>
      </c>
    </row>
    <row r="29" spans="2:6" ht="12.75">
      <c r="B29" t="s">
        <v>49</v>
      </c>
      <c r="D29" s="12">
        <f>(D28/I5)</f>
        <v>0.9499324835687745</v>
      </c>
      <c r="E29" s="12">
        <f>(E28/I5)</f>
        <v>0.9999289300723941</v>
      </c>
      <c r="F29" s="12">
        <f>(F28/I5)</f>
        <v>1.049925376576014</v>
      </c>
    </row>
    <row r="30" spans="2:7" ht="12.75">
      <c r="B30" t="s">
        <v>28</v>
      </c>
      <c r="D30" s="12">
        <f>($C$8*D25)^2/$F$21/1000</f>
        <v>7.471637869248076</v>
      </c>
      <c r="E30" s="12">
        <f>($C$8*E25)^2/$F$21/1000</f>
        <v>8.278823123820583</v>
      </c>
      <c r="F30" s="12">
        <f>($C$8*F25)^2/$F$21/1000</f>
        <v>9.127402494012195</v>
      </c>
      <c r="G30" t="s">
        <v>24</v>
      </c>
    </row>
    <row r="31" spans="2:7" ht="12.75">
      <c r="B31" t="s">
        <v>14</v>
      </c>
      <c r="D31" s="11">
        <f>(-$F$22*LN(50/($C$8*D25*1000*SQRT(2)/SQRT(3))))</f>
        <v>203.42548498732802</v>
      </c>
      <c r="E31" s="11">
        <f>(-$F$22*LN(50/($C$8*E25*1000*SQRT(2)/SQRT(3))))</f>
        <v>204.78608187886908</v>
      </c>
      <c r="F31" s="11">
        <f>(-$F$22*LN(50/($C$8*F25*1000*SQRT(2)/SQRT(3))))</f>
        <v>206.08028117917414</v>
      </c>
      <c r="G31" t="s">
        <v>38</v>
      </c>
    </row>
    <row r="33" spans="1:10" ht="12.75">
      <c r="A33" s="1" t="s">
        <v>18</v>
      </c>
      <c r="I33" s="8" t="s">
        <v>22</v>
      </c>
      <c r="J33" s="8" t="s">
        <v>47</v>
      </c>
    </row>
    <row r="34" spans="8:10" ht="12.75">
      <c r="H34" t="s">
        <v>51</v>
      </c>
      <c r="I34" s="12">
        <f>(C8/SQRT(3)/F17)</f>
        <v>13.279056191361393</v>
      </c>
      <c r="J34" s="7">
        <v>120</v>
      </c>
    </row>
    <row r="35" spans="1:2" ht="12.75">
      <c r="A35" s="6">
        <v>1</v>
      </c>
      <c r="B35" t="s">
        <v>2</v>
      </c>
    </row>
    <row r="37" spans="2:7" ht="12.75">
      <c r="B37" t="s">
        <v>43</v>
      </c>
      <c r="D37" s="4">
        <f>($C$8/SQRT(3)*$D$25)*($I$9/($F$18-A35))/(($F$17-1)*$I$9/$F$18+($I$9/($F$18-A35)))</f>
        <v>13.08935538862766</v>
      </c>
      <c r="E37" s="4">
        <f>($C$8/SQRT(3)*$E$25)*($I$9/($F$18-A35))/(($F$17-1)*$I$9/$F$18+($I$9/($F$18-A35)))</f>
        <v>13.77826883013438</v>
      </c>
      <c r="F37" s="4">
        <f>($C$8/SQRT(3)*$F$25)*($I$9/($F$18-A35))/(($F$17-1)*$I$9/$F$18+($I$9/($F$18-A35)))</f>
        <v>14.4671822716411</v>
      </c>
      <c r="G37" t="s">
        <v>22</v>
      </c>
    </row>
    <row r="38" spans="4:7" ht="12.75">
      <c r="D38" s="4">
        <f>(D37/$I$5)</f>
        <v>0.9856442310713599</v>
      </c>
      <c r="E38" s="4">
        <f>(E37/$I$5)</f>
        <v>1.0375202432330106</v>
      </c>
      <c r="F38" s="4">
        <f>(F37/$I$5)</f>
        <v>1.0893962553946612</v>
      </c>
      <c r="G38" t="s">
        <v>35</v>
      </c>
    </row>
    <row r="39" spans="4:7" ht="12.75">
      <c r="D39" s="2">
        <f>(D37/$I$34*$J$34)</f>
        <v>118.28571428571429</v>
      </c>
      <c r="E39" s="2">
        <f>(E37/$I$34*$J$34)</f>
        <v>124.51127819548873</v>
      </c>
      <c r="F39" s="2">
        <f>(F37/$I$34*$J$34)</f>
        <v>130.73684210526318</v>
      </c>
      <c r="G39" t="s">
        <v>52</v>
      </c>
    </row>
    <row r="41" spans="2:7" ht="12.75">
      <c r="B41" t="s">
        <v>33</v>
      </c>
      <c r="D41" s="4">
        <f>($C$8/SQRT(3)*$D$25)*($I$9/($F$18))/(($F$17-1)*$I$9/$F$18+($I$9/($F$18-A35)))</f>
        <v>12.520252980426454</v>
      </c>
      <c r="E41" s="4">
        <f>($C$8/SQRT(3)*$E$25)*($I$9/($F$18))/(($F$17-1)*$I$9/$F$18+($I$9/($F$18-A35)))</f>
        <v>13.179213663606797</v>
      </c>
      <c r="F41" s="4">
        <f>($C$8/SQRT(3)*$F$25)*($I$9/($F$18))/(($F$17-1)*$I$9/$F$18+($I$9/($F$18-A35)))</f>
        <v>13.838174346787138</v>
      </c>
      <c r="G41" t="s">
        <v>22</v>
      </c>
    </row>
    <row r="42" spans="4:7" ht="12.75">
      <c r="D42" s="4">
        <f>(D41/$I$5)</f>
        <v>0.9427901340682571</v>
      </c>
      <c r="E42" s="4">
        <f>(E41/$I$5)</f>
        <v>0.992410667440271</v>
      </c>
      <c r="F42" s="4">
        <f>(F41/$I$5)</f>
        <v>1.0420312008122845</v>
      </c>
      <c r="G42" t="s">
        <v>35</v>
      </c>
    </row>
    <row r="43" spans="4:7" ht="12.75">
      <c r="D43" s="2">
        <f>(D41/$I$34*$J$34)</f>
        <v>113.14285714285712</v>
      </c>
      <c r="E43" s="2">
        <f>(E41/$I$34*$J$34)</f>
        <v>119.09774436090227</v>
      </c>
      <c r="F43" s="2">
        <f>(F41/$I$34*$J$34)</f>
        <v>125.05263157894738</v>
      </c>
      <c r="G43" t="s">
        <v>52</v>
      </c>
    </row>
    <row r="45" spans="1:2" ht="12.75">
      <c r="A45" s="6">
        <v>3</v>
      </c>
      <c r="B45" t="s">
        <v>2</v>
      </c>
    </row>
    <row r="47" spans="2:7" ht="12.75">
      <c r="B47" t="s">
        <v>43</v>
      </c>
      <c r="D47" s="4">
        <f>($C$8/SQRT(3)*$D$25)*($I$9/($F$18-A45))/(($F$17-1)*$I$9/$F$18+($I$9/($F$18-A45)))</f>
        <v>14.153530623475438</v>
      </c>
      <c r="E47" s="4">
        <f>($C$8/SQRT(3)*$E$25)*($I$9/($F$18-A45))/(($F$17-1)*$I$9/$F$18+($I$9/($F$18-A45)))</f>
        <v>14.898453287868882</v>
      </c>
      <c r="F47" s="4">
        <f>($C$8/SQRT(3)*$F$25)*($I$9/($F$18-A45))/(($F$17-1)*$I$9/$F$18+($I$9/($F$18-A45)))</f>
        <v>15.643375952262327</v>
      </c>
      <c r="G47" t="s">
        <v>22</v>
      </c>
    </row>
    <row r="48" spans="4:7" ht="12.75">
      <c r="D48" s="4">
        <f>(D47/$I$5)</f>
        <v>1.065777908394235</v>
      </c>
      <c r="E48" s="4">
        <f>(E47/$I$5)</f>
        <v>1.1218714825202472</v>
      </c>
      <c r="F48" s="4">
        <f>(F47/$I$5)</f>
        <v>1.1779650566462596</v>
      </c>
      <c r="G48" t="s">
        <v>35</v>
      </c>
    </row>
    <row r="49" spans="4:7" ht="12.75">
      <c r="D49" s="2">
        <f>(D47/$I$34*$J$34)</f>
        <v>127.90243902439025</v>
      </c>
      <c r="E49" s="2">
        <f>(E47/$I$34*$J$34)</f>
        <v>134.63414634146343</v>
      </c>
      <c r="F49" s="2">
        <f>(F47/$I$34*$J$34)</f>
        <v>141.3658536585366</v>
      </c>
      <c r="G49" t="s">
        <v>52</v>
      </c>
    </row>
    <row r="51" spans="2:7" ht="12.75">
      <c r="B51" t="s">
        <v>33</v>
      </c>
      <c r="D51" s="4">
        <f>($C$8/SQRT(3)*$D$25)*($I$9/($F$18))/(($F$17-1)*$I$9/$F$18+($I$9/($F$18-A45)))</f>
        <v>12.307417933456898</v>
      </c>
      <c r="E51" s="4">
        <f>($C$8/SQRT(3)*$E$25)*($I$9/($F$18))/(($F$17-1)*$I$9/$F$18+($I$9/($F$18-A45)))</f>
        <v>12.955176772059895</v>
      </c>
      <c r="F51" s="4">
        <f>($C$8/SQRT(3)*$F$25)*($I$9/($F$18))/(($F$17-1)*$I$9/$F$18+($I$9/($F$18-A45)))</f>
        <v>13.602935610662891</v>
      </c>
      <c r="G51" t="s">
        <v>22</v>
      </c>
    </row>
    <row r="52" spans="4:7" ht="12.75">
      <c r="D52" s="4">
        <f>(D51/$I$5)</f>
        <v>0.9267633986036822</v>
      </c>
      <c r="E52" s="4">
        <f>(E51/$I$5)</f>
        <v>0.9755404195828234</v>
      </c>
      <c r="F52" s="4">
        <f>(F51/$I$5)</f>
        <v>1.0243174405619648</v>
      </c>
      <c r="G52" t="s">
        <v>35</v>
      </c>
    </row>
    <row r="53" spans="4:7" ht="12.75">
      <c r="D53" s="2">
        <f>(D51/$I$34*$J$34)</f>
        <v>111.21951219512194</v>
      </c>
      <c r="E53" s="2">
        <f>(E51/$I$34*$J$34)</f>
        <v>117.07317073170731</v>
      </c>
      <c r="F53" s="2">
        <f>(F51/$I$34*$J$34)</f>
        <v>122.92682926829269</v>
      </c>
      <c r="G53" t="s">
        <v>52</v>
      </c>
    </row>
    <row r="55" spans="1:2" ht="12.75">
      <c r="A55" s="6">
        <v>4</v>
      </c>
      <c r="B55" t="s">
        <v>2</v>
      </c>
    </row>
    <row r="57" spans="2:7" ht="12.75">
      <c r="B57" t="s">
        <v>43</v>
      </c>
      <c r="D57" s="4">
        <f>($C$8/SQRT(3)*$D$25)*($I$9/($F$18-A55))/(($F$17-1)*$I$9/$F$18+($I$9/($F$18-A55)))</f>
        <v>14.753256497351513</v>
      </c>
      <c r="E57" s="4">
        <f>($C$8/SQRT(3)*$E$25)*($I$9/($F$18-A55))/(($F$17-1)*$I$9/$F$18+($I$9/($F$18-A55)))</f>
        <v>15.529743681422646</v>
      </c>
      <c r="F57" s="4">
        <f>($C$8/SQRT(3)*$F$25)*($I$9/($F$18-A55))/(($F$17-1)*$I$9/$F$18+($I$9/($F$18-A55)))</f>
        <v>16.30623086549378</v>
      </c>
      <c r="G57" t="s">
        <v>22</v>
      </c>
    </row>
    <row r="58" spans="4:7" ht="12.75">
      <c r="D58" s="4">
        <f>(D57/$I$5)</f>
        <v>1.110937989258397</v>
      </c>
      <c r="E58" s="4">
        <f>(E57/$I$5)</f>
        <v>1.1694084097456812</v>
      </c>
      <c r="F58" s="4">
        <f>(F57/$I$5)</f>
        <v>1.2278788302329655</v>
      </c>
      <c r="G58" t="s">
        <v>35</v>
      </c>
    </row>
    <row r="59" spans="4:7" ht="12.75">
      <c r="D59" s="2">
        <f>(D57/$I$34*$J$34)</f>
        <v>133.32203389830508</v>
      </c>
      <c r="E59" s="2">
        <f>(E57/$I$34*$J$34)</f>
        <v>140.33898305084745</v>
      </c>
      <c r="F59" s="2">
        <f>(F57/$I$34*$J$34)</f>
        <v>147.35593220338987</v>
      </c>
      <c r="G59" t="s">
        <v>52</v>
      </c>
    </row>
    <row r="61" spans="2:7" ht="12.75">
      <c r="B61" t="s">
        <v>33</v>
      </c>
      <c r="D61" s="4">
        <f>($C$8/SQRT(3)*$D$25)*($I$9/($F$18))/(($F$17-1)*$I$9/$F$18+($I$9/($F$18-A55)))</f>
        <v>12.187472758681682</v>
      </c>
      <c r="E61" s="4">
        <f>($C$8/SQRT(3)*$E$25)*($I$9/($F$18))/(($F$17-1)*$I$9/$F$18+($I$9/($F$18-A55)))</f>
        <v>12.828918693349141</v>
      </c>
      <c r="F61" s="4">
        <f>($C$8/SQRT(3)*$F$25)*($I$9/($F$18))/(($F$17-1)*$I$9/$F$18+($I$9/($F$18-A55)))</f>
        <v>13.4703646280166</v>
      </c>
      <c r="G61" t="s">
        <v>22</v>
      </c>
    </row>
    <row r="62" spans="4:7" ht="12.75">
      <c r="D62" s="4">
        <f>(D61/$I$5)</f>
        <v>0.9177313824308496</v>
      </c>
      <c r="E62" s="4">
        <f>(E61/$I$5)</f>
        <v>0.9660330341377366</v>
      </c>
      <c r="F62" s="4">
        <f>(F61/$I$5)</f>
        <v>1.0143346858446236</v>
      </c>
      <c r="G62" t="s">
        <v>35</v>
      </c>
    </row>
    <row r="63" spans="4:7" ht="12.75">
      <c r="D63" s="2">
        <f>(D61/$I$34*$J$34)</f>
        <v>110.13559322033896</v>
      </c>
      <c r="E63" s="2">
        <f>(E61/$I$34*$J$34)</f>
        <v>115.93220338983049</v>
      </c>
      <c r="F63" s="2">
        <f>(F61/$I$34*$J$34)</f>
        <v>121.72881355932203</v>
      </c>
      <c r="G63" t="s">
        <v>52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scale="83" r:id="rId1"/>
  <headerFooter alignWithMargins="0">
    <oddFooter>&amp;L&amp;"Arial"&amp;8EE5210\CAPBANK.WK3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Mork</cp:lastModifiedBy>
  <cp:lastPrinted>2007-04-11T17:05:21Z</cp:lastPrinted>
  <dcterms:created xsi:type="dcterms:W3CDTF">2007-04-11T18:31:01Z</dcterms:created>
  <dcterms:modified xsi:type="dcterms:W3CDTF">2007-04-11T18:31:01Z</dcterms:modified>
  <cp:category/>
  <cp:version/>
  <cp:contentType/>
  <cp:contentStatus/>
</cp:coreProperties>
</file>